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OTOR_ANTI\Desktop\Пётр\"/>
    </mc:Choice>
  </mc:AlternateContent>
  <xr:revisionPtr revIDLastSave="0" documentId="13_ncr:1_{5D1BDBA8-4D82-408B-87C8-E9891074BED9}" xr6:coauthVersionLast="47" xr6:coauthVersionMax="47" xr10:uidLastSave="{00000000-0000-0000-0000-000000000000}"/>
  <bookViews>
    <workbookView xWindow="-108" yWindow="-108" windowWidth="30936" windowHeight="16776" xr2:uid="{00000000-000D-0000-FFFF-FFFF00000000}"/>
  </bookViews>
  <sheets>
    <sheet name="РВ-115ТТД" sheetId="1" r:id="rId1"/>
    <sheet name="МСА" sheetId="3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2" i="1" l="1"/>
  <c r="J22" i="1" s="1"/>
  <c r="I29" i="1"/>
  <c r="J29" i="1" s="1"/>
  <c r="C29" i="1"/>
  <c r="K29" i="1" s="1"/>
  <c r="F29" i="1" l="1"/>
  <c r="G29" i="1" s="1"/>
  <c r="F35" i="3"/>
  <c r="G35" i="3" s="1"/>
  <c r="E35" i="3"/>
  <c r="C35" i="3"/>
  <c r="B35" i="3"/>
  <c r="F34" i="3"/>
  <c r="G34" i="3" s="1"/>
  <c r="E34" i="3"/>
  <c r="C34" i="3"/>
  <c r="B34" i="3"/>
  <c r="F33" i="3"/>
  <c r="G33" i="3" s="1"/>
  <c r="E33" i="3"/>
  <c r="C33" i="3"/>
  <c r="B33" i="3"/>
  <c r="F32" i="3"/>
  <c r="G32" i="3" s="1"/>
  <c r="E32" i="3"/>
  <c r="C32" i="3"/>
  <c r="B32" i="3"/>
  <c r="F31" i="3"/>
  <c r="G31" i="3" s="1"/>
  <c r="E31" i="3"/>
  <c r="C31" i="3"/>
  <c r="B31" i="3"/>
  <c r="F30" i="3"/>
  <c r="G30" i="3" s="1"/>
  <c r="E30" i="3"/>
  <c r="C30" i="3"/>
  <c r="B30" i="3"/>
  <c r="F29" i="3"/>
  <c r="G29" i="3" s="1"/>
  <c r="E29" i="3"/>
  <c r="C29" i="3"/>
  <c r="B29" i="3"/>
  <c r="F28" i="3"/>
  <c r="G28" i="3" s="1"/>
  <c r="E28" i="3"/>
  <c r="C28" i="3"/>
  <c r="B28" i="3"/>
  <c r="F27" i="3"/>
  <c r="G27" i="3" s="1"/>
  <c r="E27" i="3"/>
  <c r="C27" i="3"/>
  <c r="B27" i="3"/>
  <c r="F26" i="3"/>
  <c r="G26" i="3" s="1"/>
  <c r="E26" i="3"/>
  <c r="C26" i="3"/>
  <c r="B26" i="3"/>
  <c r="F25" i="3"/>
  <c r="G25" i="3" s="1"/>
  <c r="E25" i="3"/>
  <c r="C25" i="3"/>
  <c r="B25" i="3"/>
  <c r="F24" i="3"/>
  <c r="G24" i="3" s="1"/>
  <c r="E24" i="3"/>
  <c r="C24" i="3"/>
  <c r="B24" i="3"/>
  <c r="F23" i="3"/>
  <c r="G23" i="3" s="1"/>
  <c r="E23" i="3"/>
  <c r="C23" i="3"/>
  <c r="B23" i="3"/>
  <c r="F22" i="3"/>
  <c r="G22" i="3" s="1"/>
  <c r="E22" i="3"/>
  <c r="C22" i="3"/>
  <c r="B22" i="3"/>
  <c r="E21" i="3"/>
  <c r="D21" i="3"/>
  <c r="F21" i="3" s="1"/>
  <c r="G21" i="3" s="1"/>
  <c r="C21" i="3"/>
  <c r="B21" i="3"/>
  <c r="E20" i="3"/>
  <c r="D20" i="3"/>
  <c r="F20" i="3" s="1"/>
  <c r="G20" i="3" s="1"/>
  <c r="C20" i="3"/>
  <c r="B20" i="3"/>
  <c r="E19" i="3"/>
  <c r="D19" i="3"/>
  <c r="F19" i="3" s="1"/>
  <c r="G19" i="3" s="1"/>
  <c r="C19" i="3"/>
  <c r="B19" i="3"/>
  <c r="E18" i="3"/>
  <c r="D18" i="3"/>
  <c r="F18" i="3" s="1"/>
  <c r="G18" i="3" s="1"/>
  <c r="C18" i="3"/>
  <c r="B18" i="3"/>
  <c r="E17" i="3"/>
  <c r="D17" i="3"/>
  <c r="F17" i="3" s="1"/>
  <c r="G17" i="3" s="1"/>
  <c r="C17" i="3"/>
  <c r="B17" i="3"/>
  <c r="E16" i="3"/>
  <c r="D16" i="3"/>
  <c r="F16" i="3" s="1"/>
  <c r="G16" i="3" s="1"/>
  <c r="C16" i="3"/>
  <c r="B16" i="3"/>
  <c r="E15" i="3"/>
  <c r="D15" i="3"/>
  <c r="F15" i="3" s="1"/>
  <c r="G15" i="3" s="1"/>
  <c r="C15" i="3"/>
  <c r="B15" i="3"/>
  <c r="E14" i="3"/>
  <c r="D14" i="3"/>
  <c r="F14" i="3" s="1"/>
  <c r="G14" i="3" s="1"/>
  <c r="C14" i="3"/>
  <c r="B14" i="3"/>
  <c r="E13" i="3"/>
  <c r="D13" i="3"/>
  <c r="F13" i="3" s="1"/>
  <c r="G13" i="3" s="1"/>
  <c r="C13" i="3"/>
  <c r="B13" i="3"/>
  <c r="E12" i="3"/>
  <c r="D12" i="3"/>
  <c r="F12" i="3" s="1"/>
  <c r="G12" i="3" s="1"/>
  <c r="C12" i="3"/>
  <c r="B12" i="3"/>
  <c r="E11" i="3"/>
  <c r="D11" i="3"/>
  <c r="F11" i="3" s="1"/>
  <c r="G11" i="3" s="1"/>
  <c r="C11" i="3"/>
  <c r="B11" i="3"/>
  <c r="E10" i="3"/>
  <c r="D10" i="3"/>
  <c r="F10" i="3" s="1"/>
  <c r="G10" i="3" s="1"/>
  <c r="C10" i="3"/>
  <c r="B10" i="3"/>
  <c r="E9" i="3"/>
  <c r="D9" i="3"/>
  <c r="F9" i="3" s="1"/>
  <c r="G9" i="3" s="1"/>
  <c r="C9" i="3"/>
  <c r="B9" i="3"/>
  <c r="E8" i="3"/>
  <c r="D8" i="3"/>
  <c r="F8" i="3" s="1"/>
  <c r="G8" i="3" s="1"/>
  <c r="C8" i="3"/>
  <c r="B8" i="3"/>
  <c r="E7" i="3"/>
  <c r="D7" i="3"/>
  <c r="F7" i="3" s="1"/>
  <c r="G7" i="3" s="1"/>
  <c r="C7" i="3"/>
  <c r="B7" i="3"/>
  <c r="E6" i="3"/>
  <c r="D6" i="3"/>
  <c r="F6" i="3" s="1"/>
  <c r="G6" i="3" s="1"/>
  <c r="C6" i="3"/>
  <c r="B6" i="3"/>
  <c r="E5" i="3"/>
  <c r="D5" i="3"/>
  <c r="F5" i="3" s="1"/>
  <c r="G5" i="3" s="1"/>
  <c r="C5" i="3"/>
  <c r="B5" i="3"/>
  <c r="E4" i="3"/>
  <c r="D4" i="3"/>
  <c r="F4" i="3" s="1"/>
  <c r="G4" i="3" s="1"/>
  <c r="C4" i="3"/>
  <c r="B4" i="3"/>
  <c r="E3" i="3"/>
  <c r="D3" i="3"/>
  <c r="F3" i="3" s="1"/>
  <c r="G3" i="3" s="1"/>
  <c r="C3" i="3"/>
  <c r="B3" i="3"/>
  <c r="H29" i="1" l="1"/>
  <c r="C21" i="1"/>
  <c r="C22" i="1"/>
  <c r="K22" i="1" s="1"/>
  <c r="C23" i="1"/>
  <c r="I3" i="1"/>
  <c r="I4" i="1"/>
  <c r="I5" i="1"/>
  <c r="I6" i="1"/>
  <c r="I7" i="1"/>
  <c r="I8" i="1"/>
  <c r="I9" i="1"/>
  <c r="I10" i="1"/>
  <c r="I11" i="1"/>
  <c r="I12" i="1"/>
  <c r="I13" i="1"/>
  <c r="I14" i="1"/>
  <c r="I15" i="1"/>
  <c r="I16" i="1"/>
  <c r="I17" i="1"/>
  <c r="J17" i="1" s="1"/>
  <c r="I18" i="1"/>
  <c r="I19" i="1"/>
  <c r="I20" i="1"/>
  <c r="I21" i="1"/>
  <c r="I23" i="1"/>
  <c r="I24" i="1"/>
  <c r="I25" i="1"/>
  <c r="I26" i="1"/>
  <c r="I27" i="1"/>
  <c r="I28" i="1"/>
  <c r="C13" i="1"/>
  <c r="F13" i="1" s="1"/>
  <c r="H13" i="1" s="1"/>
  <c r="C4" i="1"/>
  <c r="C5" i="1"/>
  <c r="C6" i="1"/>
  <c r="C7" i="1"/>
  <c r="C8" i="1"/>
  <c r="C9" i="1"/>
  <c r="C10" i="1"/>
  <c r="C11" i="1"/>
  <c r="C12" i="1"/>
  <c r="C14" i="1"/>
  <c r="C15" i="1"/>
  <c r="C16" i="1"/>
  <c r="C17" i="1"/>
  <c r="K17" i="1" s="1"/>
  <c r="C18" i="1"/>
  <c r="K18" i="1" s="1"/>
  <c r="C19" i="1"/>
  <c r="K19" i="1" s="1"/>
  <c r="C20" i="1"/>
  <c r="K20" i="1" s="1"/>
  <c r="K21" i="1"/>
  <c r="C24" i="1"/>
  <c r="K24" i="1" s="1"/>
  <c r="C25" i="1"/>
  <c r="K25" i="1" s="1"/>
  <c r="C26" i="1"/>
  <c r="K26" i="1" s="1"/>
  <c r="C27" i="1"/>
  <c r="K27" i="1" s="1"/>
  <c r="C28" i="1"/>
  <c r="K28" i="1" s="1"/>
  <c r="K23" i="1"/>
  <c r="J18" i="1"/>
  <c r="J19" i="1"/>
  <c r="J21" i="1"/>
  <c r="J23" i="1"/>
  <c r="J24" i="1"/>
  <c r="J25" i="1"/>
  <c r="J26" i="1"/>
  <c r="J28" i="1"/>
  <c r="F22" i="1" l="1"/>
  <c r="K13" i="1"/>
  <c r="L13" i="1" s="1"/>
  <c r="G13" i="1"/>
  <c r="F28" i="1"/>
  <c r="H28" i="1" s="1"/>
  <c r="F26" i="1"/>
  <c r="F27" i="1"/>
  <c r="F25" i="1"/>
  <c r="F23" i="1"/>
  <c r="F20" i="1"/>
  <c r="F18" i="1"/>
  <c r="F24" i="1"/>
  <c r="F21" i="1"/>
  <c r="H21" i="1" s="1"/>
  <c r="F19" i="1"/>
  <c r="F17" i="1"/>
  <c r="J20" i="1"/>
  <c r="J4" i="1"/>
  <c r="J5" i="1"/>
  <c r="J6" i="1"/>
  <c r="J7" i="1"/>
  <c r="J8" i="1"/>
  <c r="J9" i="1"/>
  <c r="J10" i="1"/>
  <c r="J11" i="1"/>
  <c r="J12" i="1"/>
  <c r="J14" i="1"/>
  <c r="J15" i="1"/>
  <c r="J16" i="1"/>
  <c r="F4" i="1"/>
  <c r="F5" i="1"/>
  <c r="G5" i="1" s="1"/>
  <c r="F6" i="1"/>
  <c r="H6" i="1" s="1"/>
  <c r="F7" i="1"/>
  <c r="H7" i="1" s="1"/>
  <c r="F8" i="1"/>
  <c r="G8" i="1" s="1"/>
  <c r="F9" i="1"/>
  <c r="H9" i="1" s="1"/>
  <c r="F10" i="1"/>
  <c r="G10" i="1" s="1"/>
  <c r="F11" i="1"/>
  <c r="H11" i="1" s="1"/>
  <c r="F12" i="1"/>
  <c r="G12" i="1" s="1"/>
  <c r="F14" i="1"/>
  <c r="H14" i="1" s="1"/>
  <c r="F15" i="1"/>
  <c r="G15" i="1" s="1"/>
  <c r="F16" i="1"/>
  <c r="H16" i="1" s="1"/>
  <c r="C3" i="1"/>
  <c r="K3" i="1" s="1"/>
  <c r="K4" i="1"/>
  <c r="K7" i="1"/>
  <c r="K9" i="1"/>
  <c r="K11" i="1"/>
  <c r="K16" i="1"/>
  <c r="M16" i="1" s="1"/>
  <c r="M21" i="1"/>
  <c r="H22" i="1" l="1"/>
  <c r="G22" i="1"/>
  <c r="K14" i="1"/>
  <c r="M14" i="1" s="1"/>
  <c r="G28" i="1"/>
  <c r="K6" i="1"/>
  <c r="L6" i="1" s="1"/>
  <c r="H19" i="1"/>
  <c r="G19" i="1"/>
  <c r="H24" i="1"/>
  <c r="G24" i="1"/>
  <c r="G18" i="1"/>
  <c r="H18" i="1"/>
  <c r="G23" i="1"/>
  <c r="H23" i="1"/>
  <c r="G27" i="1"/>
  <c r="H27" i="1"/>
  <c r="H17" i="1"/>
  <c r="G17" i="1"/>
  <c r="G21" i="1"/>
  <c r="G20" i="1"/>
  <c r="H20" i="1"/>
  <c r="G25" i="1"/>
  <c r="H25" i="1"/>
  <c r="H26" i="1"/>
  <c r="G26" i="1"/>
  <c r="L24" i="1"/>
  <c r="M24" i="1"/>
  <c r="H15" i="1"/>
  <c r="M20" i="1"/>
  <c r="L20" i="1"/>
  <c r="M27" i="1"/>
  <c r="M18" i="1"/>
  <c r="K8" i="1"/>
  <c r="K5" i="1"/>
  <c r="M26" i="1"/>
  <c r="M23" i="1"/>
  <c r="M17" i="1"/>
  <c r="K15" i="1"/>
  <c r="K12" i="1"/>
  <c r="K10" i="1"/>
  <c r="L17" i="1"/>
  <c r="G16" i="1"/>
  <c r="G14" i="1"/>
  <c r="G11" i="1"/>
  <c r="G9" i="1"/>
  <c r="G7" i="1"/>
  <c r="G6" i="1"/>
  <c r="H12" i="1"/>
  <c r="H10" i="1"/>
  <c r="H8" i="1"/>
  <c r="H5" i="1"/>
  <c r="L21" i="1"/>
  <c r="L16" i="1"/>
  <c r="L11" i="1"/>
  <c r="L9" i="1"/>
  <c r="L7" i="1"/>
  <c r="L3" i="1"/>
  <c r="F3" i="1"/>
  <c r="H3" i="1" s="1"/>
  <c r="G4" i="1"/>
  <c r="H4" i="1"/>
  <c r="L4" i="1"/>
  <c r="J27" i="1"/>
  <c r="J3" i="1"/>
  <c r="L14" i="1" l="1"/>
  <c r="M25" i="1"/>
  <c r="L18" i="1"/>
  <c r="L8" i="1"/>
  <c r="L5" i="1"/>
  <c r="L23" i="1"/>
  <c r="L12" i="1"/>
  <c r="L10" i="1"/>
  <c r="M15" i="1"/>
  <c r="L15" i="1"/>
  <c r="M19" i="1"/>
  <c r="L19" i="1"/>
  <c r="G3" i="1"/>
</calcChain>
</file>

<file path=xl/sharedStrings.xml><?xml version="1.0" encoding="utf-8"?>
<sst xmlns="http://schemas.openxmlformats.org/spreadsheetml/2006/main" count="32" uniqueCount="30">
  <si>
    <t>Температура К</t>
  </si>
  <si>
    <t>Высота м</t>
  </si>
  <si>
    <t>Плотность кг/м3</t>
  </si>
  <si>
    <t>скорость звука км/ч</t>
  </si>
  <si>
    <t>скорость  м/с</t>
  </si>
  <si>
    <t>скорость км/ч</t>
  </si>
  <si>
    <t>Давление Па</t>
  </si>
  <si>
    <t>Давление мм рт.ст.</t>
  </si>
  <si>
    <t>доля плотности</t>
  </si>
  <si>
    <t>располагаемая мощность кВт</t>
  </si>
  <si>
    <t>Компенсирующая степень повышения давления в ТК</t>
  </si>
  <si>
    <t>год</t>
  </si>
  <si>
    <t>Facet Opal</t>
  </si>
  <si>
    <t>Caproni Ca.161</t>
  </si>
  <si>
    <t>(560)</t>
  </si>
  <si>
    <t>Рекорд Высоты-115 S=8,8m2 ; Cy=0,9 ; K=22 ; кпд(пол)=0,7 ; Y=2,3kH ; Суд=0,25кг/кВт*ч ; Сжатие в турбокомпрессорах по изотерме 288К</t>
  </si>
  <si>
    <r>
      <t xml:space="preserve">Турбонаддув </t>
    </r>
    <r>
      <rPr>
        <sz val="8"/>
        <rFont val="Calibri"/>
        <family val="2"/>
        <charset val="204"/>
      </rPr>
      <t>π</t>
    </r>
    <r>
      <rPr>
        <sz val="8"/>
        <rFont val="Arial CYR"/>
        <family val="2"/>
        <charset val="204"/>
      </rPr>
      <t>к=4     кВт</t>
    </r>
  </si>
  <si>
    <t>Высота        м</t>
  </si>
  <si>
    <t>Потребная мощность   кВт</t>
  </si>
  <si>
    <r>
      <t xml:space="preserve">    Международная стандартная атмосфера САК 1937г                                                          </t>
    </r>
    <r>
      <rPr>
        <sz val="12"/>
        <rFont val="Times New Roman"/>
        <family val="1"/>
      </rPr>
      <t>для g = 9,80665 м/с2</t>
    </r>
  </si>
  <si>
    <t>скорость звука  м/с</t>
  </si>
  <si>
    <t>Высота Рыбинска</t>
  </si>
  <si>
    <t>Высота единичной плотности воздуха</t>
  </si>
  <si>
    <t>Граница для свободного дыхания</t>
  </si>
  <si>
    <t>Граница стратосферы на широте Парижа</t>
  </si>
  <si>
    <t>Граница дыхания в кислородной маске</t>
  </si>
  <si>
    <t>Высота трёхкратной наивыгоднейшей скорости</t>
  </si>
  <si>
    <t>Высота четырёхкратной наивыгоднейшей скорости</t>
  </si>
  <si>
    <t>Высота реактивных ультралайтов</t>
  </si>
  <si>
    <t>Высота двойной наивыгоднейшей скорости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</si>
</sst>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0.0"/>
    <numFmt numFmtId="166" formatCode="0.000"/>
  </numFmts>
  <fonts count="19" x14ac:knownFonts="1">
    <font>
      <sz val="10"/>
      <name val="Arial"/>
    </font>
    <font>
      <sz val="10"/>
      <color indexed="9"/>
      <name val="Arial"/>
      <family val="2"/>
    </font>
    <font>
      <sz val="8"/>
      <name val="Arial"/>
      <family val="2"/>
    </font>
    <font>
      <sz val="12"/>
      <name val="Times New Roman"/>
      <family val="1"/>
    </font>
    <font>
      <sz val="14"/>
      <name val="Times New Roman"/>
      <family val="1"/>
    </font>
    <font>
      <sz val="10"/>
      <name val="Arial"/>
    </font>
    <font>
      <sz val="10"/>
      <name val="Arial"/>
      <family val="2"/>
    </font>
    <font>
      <sz val="10"/>
      <name val="Times New Roman"/>
      <family val="1"/>
    </font>
    <font>
      <sz val="10"/>
      <color indexed="9"/>
      <name val="Times New Roman"/>
      <family val="1"/>
    </font>
    <font>
      <sz val="11"/>
      <name val="Times New Roman"/>
      <family val="1"/>
    </font>
    <font>
      <sz val="10"/>
      <name val="Arial Cyr"/>
      <family val="2"/>
      <charset val="204"/>
    </font>
    <font>
      <sz val="8"/>
      <name val="Arial CYR"/>
      <family val="2"/>
      <charset val="204"/>
    </font>
    <font>
      <sz val="10"/>
      <color theme="3" tint="0.39997558519241921"/>
      <name val="Arial"/>
      <family val="2"/>
      <charset val="204"/>
    </font>
    <font>
      <sz val="10"/>
      <color theme="3" tint="0.39997558519241921"/>
      <name val="Arial"/>
      <family val="2"/>
    </font>
    <font>
      <sz val="8"/>
      <name val="Calibri"/>
      <family val="2"/>
      <charset val="204"/>
    </font>
    <font>
      <sz val="10"/>
      <color theme="9" tint="-0.499984740745262"/>
      <name val="Arial"/>
      <family val="2"/>
      <charset val="204"/>
    </font>
    <font>
      <sz val="10"/>
      <name val="Arial"/>
      <family val="2"/>
      <charset val="204"/>
    </font>
    <font>
      <sz val="10"/>
      <color rgb="FF0070C0"/>
      <name val="Arial"/>
      <family val="2"/>
      <charset val="204"/>
    </font>
    <font>
      <sz val="10"/>
      <color theme="0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indexed="44"/>
        <bgColor indexed="64"/>
      </patternFill>
    </fill>
    <fill>
      <patternFill patternType="mediumGray">
        <bgColor indexed="12"/>
      </patternFill>
    </fill>
    <fill>
      <patternFill patternType="solid">
        <fgColor indexed="6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3399FF"/>
        <bgColor indexed="64"/>
      </patternFill>
    </fill>
    <fill>
      <patternFill patternType="solid">
        <fgColor rgb="FF0000FF"/>
        <bgColor indexed="64"/>
      </patternFill>
    </fill>
    <fill>
      <patternFill patternType="solid">
        <fgColor theme="1" tint="0.249977111117893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142">
    <xf numFmtId="0" fontId="0" fillId="0" borderId="0" xfId="0"/>
    <xf numFmtId="0" fontId="2" fillId="0" borderId="0" xfId="0" applyFont="1" applyAlignment="1">
      <alignment horizontal="center" vertical="center" wrapText="1" shrinkToFit="1"/>
    </xf>
    <xf numFmtId="1" fontId="0" fillId="0" borderId="0" xfId="0" applyNumberFormat="1"/>
    <xf numFmtId="1" fontId="0" fillId="0" borderId="0" xfId="0" applyNumberFormat="1" applyBorder="1" applyAlignment="1">
      <alignment horizontal="center" vertical="center"/>
    </xf>
    <xf numFmtId="11" fontId="0" fillId="0" borderId="0" xfId="0" applyNumberFormat="1"/>
    <xf numFmtId="1" fontId="0" fillId="0" borderId="0" xfId="0" applyNumberFormat="1" applyFill="1" applyBorder="1" applyAlignment="1">
      <alignment horizontal="center" vertical="center"/>
    </xf>
    <xf numFmtId="0" fontId="5" fillId="0" borderId="0" xfId="0" applyFont="1" applyFill="1"/>
    <xf numFmtId="1" fontId="6" fillId="0" borderId="0" xfId="0" applyNumberFormat="1" applyFont="1" applyBorder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66" fontId="0" fillId="0" borderId="0" xfId="0" applyNumberFormat="1" applyBorder="1" applyAlignment="1">
      <alignment horizontal="center" vertical="center"/>
    </xf>
    <xf numFmtId="1" fontId="7" fillId="0" borderId="0" xfId="0" applyNumberFormat="1" applyFont="1" applyBorder="1" applyAlignment="1">
      <alignment horizontal="center" vertical="center"/>
    </xf>
    <xf numFmtId="165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Border="1" applyAlignment="1">
      <alignment horizontal="center" vertical="center"/>
    </xf>
    <xf numFmtId="164" fontId="7" fillId="0" borderId="0" xfId="0" applyNumberFormat="1" applyFont="1" applyFill="1" applyBorder="1" applyAlignment="1">
      <alignment horizontal="center" vertical="center"/>
    </xf>
    <xf numFmtId="165" fontId="7" fillId="5" borderId="0" xfId="0" applyNumberFormat="1" applyFont="1" applyFill="1" applyBorder="1" applyAlignment="1">
      <alignment horizontal="center" vertical="center" wrapText="1" shrinkToFit="1"/>
    </xf>
    <xf numFmtId="1" fontId="7" fillId="6" borderId="0" xfId="0" applyNumberFormat="1" applyFont="1" applyFill="1" applyBorder="1" applyAlignment="1">
      <alignment horizontal="center" vertical="center" wrapText="1" shrinkToFit="1"/>
    </xf>
    <xf numFmtId="11" fontId="7" fillId="5" borderId="0" xfId="0" applyNumberFormat="1" applyFont="1" applyFill="1" applyBorder="1" applyAlignment="1">
      <alignment horizontal="center" vertical="center" wrapText="1" shrinkToFit="1"/>
    </xf>
    <xf numFmtId="1" fontId="7" fillId="0" borderId="1" xfId="0" applyNumberFormat="1" applyFont="1" applyBorder="1" applyAlignment="1">
      <alignment horizontal="center" vertical="center"/>
    </xf>
    <xf numFmtId="165" fontId="7" fillId="0" borderId="1" xfId="0" applyNumberFormat="1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1" fontId="7" fillId="0" borderId="2" xfId="0" applyNumberFormat="1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Border="1" applyAlignment="1">
      <alignment horizontal="center" vertical="center"/>
    </xf>
    <xf numFmtId="164" fontId="7" fillId="0" borderId="2" xfId="0" applyNumberFormat="1" applyFont="1" applyFill="1" applyBorder="1" applyAlignment="1">
      <alignment horizontal="center" vertical="center"/>
    </xf>
    <xf numFmtId="0" fontId="7" fillId="7" borderId="3" xfId="0" applyFont="1" applyFill="1" applyBorder="1" applyAlignment="1">
      <alignment horizontal="center" vertical="center" wrapText="1" shrinkToFit="1"/>
    </xf>
    <xf numFmtId="0" fontId="7" fillId="5" borderId="4" xfId="0" applyFont="1" applyFill="1" applyBorder="1" applyAlignment="1">
      <alignment horizontal="center" vertical="center" wrapText="1" shrinkToFit="1"/>
    </xf>
    <xf numFmtId="0" fontId="7" fillId="0" borderId="3" xfId="0" applyFont="1" applyBorder="1" applyAlignment="1">
      <alignment horizontal="center" vertical="center"/>
    </xf>
    <xf numFmtId="1" fontId="7" fillId="0" borderId="4" xfId="0" applyNumberFormat="1" applyFont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/>
    </xf>
    <xf numFmtId="0" fontId="7" fillId="2" borderId="3" xfId="0" applyFont="1" applyFill="1" applyBorder="1" applyAlignment="1">
      <alignment horizontal="center" vertical="center"/>
    </xf>
    <xf numFmtId="1" fontId="7" fillId="0" borderId="6" xfId="0" applyNumberFormat="1" applyFont="1" applyBorder="1" applyAlignment="1">
      <alignment horizontal="center" vertical="center"/>
    </xf>
    <xf numFmtId="0" fontId="7" fillId="2" borderId="7" xfId="0" applyFont="1" applyFill="1" applyBorder="1" applyAlignment="1">
      <alignment horizontal="center" vertical="center"/>
    </xf>
    <xf numFmtId="1" fontId="7" fillId="0" borderId="8" xfId="0" applyNumberFormat="1" applyFont="1" applyBorder="1" applyAlignment="1">
      <alignment horizontal="center" vertical="center"/>
    </xf>
    <xf numFmtId="0" fontId="8" fillId="8" borderId="3" xfId="0" applyFont="1" applyFill="1" applyBorder="1" applyAlignment="1">
      <alignment horizontal="center" vertical="center"/>
    </xf>
    <xf numFmtId="0" fontId="8" fillId="3" borderId="3" xfId="0" applyFont="1" applyFill="1" applyBorder="1" applyAlignment="1">
      <alignment horizontal="center" vertical="center"/>
    </xf>
    <xf numFmtId="0" fontId="8" fillId="3" borderId="7" xfId="0" applyFont="1" applyFill="1" applyBorder="1" applyAlignment="1">
      <alignment horizontal="center" vertical="center"/>
    </xf>
    <xf numFmtId="0" fontId="8" fillId="4" borderId="3" xfId="0" applyFont="1" applyFill="1" applyBorder="1" applyAlignment="1">
      <alignment horizontal="center" vertical="center"/>
    </xf>
    <xf numFmtId="0" fontId="11" fillId="0" borderId="0" xfId="0" applyFont="1" applyBorder="1" applyAlignment="1">
      <alignment horizontal="center" vertical="center" wrapText="1" shrinkToFit="1"/>
    </xf>
    <xf numFmtId="0" fontId="11" fillId="5" borderId="0" xfId="0" applyFont="1" applyFill="1" applyBorder="1" applyAlignment="1">
      <alignment horizontal="center" vertical="center" wrapText="1" shrinkToFit="1"/>
    </xf>
    <xf numFmtId="0" fontId="11" fillId="9" borderId="0" xfId="0" applyFont="1" applyFill="1" applyBorder="1" applyAlignment="1">
      <alignment horizontal="center" vertical="center" wrapText="1" shrinkToFit="1"/>
    </xf>
    <xf numFmtId="11" fontId="11" fillId="5" borderId="0" xfId="0" applyNumberFormat="1" applyFont="1" applyFill="1" applyBorder="1" applyAlignment="1">
      <alignment horizontal="center" vertical="center" wrapText="1" shrinkToFit="1"/>
    </xf>
    <xf numFmtId="1" fontId="0" fillId="5" borderId="0" xfId="0" applyNumberFormat="1" applyFill="1" applyBorder="1" applyAlignment="1">
      <alignment horizontal="center" vertical="center"/>
    </xf>
    <xf numFmtId="0" fontId="0" fillId="0" borderId="0" xfId="0" applyFill="1"/>
    <xf numFmtId="165" fontId="0" fillId="0" borderId="0" xfId="0" applyNumberFormat="1"/>
    <xf numFmtId="165" fontId="7" fillId="6" borderId="0" xfId="0" applyNumberFormat="1" applyFont="1" applyFill="1" applyBorder="1" applyAlignment="1">
      <alignment horizontal="center" vertical="center" wrapText="1" shrinkToFit="1"/>
    </xf>
    <xf numFmtId="0" fontId="8" fillId="4" borderId="9" xfId="0" applyFont="1" applyFill="1" applyBorder="1" applyAlignment="1">
      <alignment horizontal="center" vertical="center"/>
    </xf>
    <xf numFmtId="0" fontId="8" fillId="8" borderId="5" xfId="0" applyFont="1" applyFill="1" applyBorder="1" applyAlignment="1">
      <alignment horizontal="center" vertical="center"/>
    </xf>
    <xf numFmtId="0" fontId="8" fillId="8" borderId="7" xfId="0" applyFont="1" applyFill="1" applyBorder="1" applyAlignment="1">
      <alignment horizontal="center" vertical="center"/>
    </xf>
    <xf numFmtId="165" fontId="7" fillId="0" borderId="12" xfId="0" applyNumberFormat="1" applyFont="1" applyBorder="1" applyAlignment="1">
      <alignment horizontal="center" vertical="center"/>
    </xf>
    <xf numFmtId="11" fontId="11" fillId="10" borderId="0" xfId="0" applyNumberFormat="1" applyFont="1" applyFill="1" applyBorder="1" applyAlignment="1">
      <alignment horizontal="center" vertical="center" wrapText="1" shrinkToFit="1"/>
    </xf>
    <xf numFmtId="165" fontId="0" fillId="0" borderId="0" xfId="0" applyNumberFormat="1" applyBorder="1" applyAlignment="1">
      <alignment horizontal="center" vertical="center"/>
    </xf>
    <xf numFmtId="2" fontId="0" fillId="0" borderId="0" xfId="0" applyNumberFormat="1" applyBorder="1" applyAlignment="1">
      <alignment horizontal="center" vertical="center"/>
    </xf>
    <xf numFmtId="0" fontId="11" fillId="6" borderId="0" xfId="0" applyFont="1" applyFill="1" applyBorder="1" applyAlignment="1">
      <alignment horizontal="center" vertical="center" wrapText="1" shrinkToFit="1"/>
    </xf>
    <xf numFmtId="0" fontId="0" fillId="0" borderId="0" xfId="0" applyBorder="1" applyAlignment="1">
      <alignment horizontal="center" vertical="center"/>
    </xf>
    <xf numFmtId="0" fontId="11" fillId="11" borderId="0" xfId="0" applyFont="1" applyFill="1" applyBorder="1" applyAlignment="1">
      <alignment horizontal="center" vertical="center" wrapText="1" shrinkToFit="1"/>
    </xf>
    <xf numFmtId="1" fontId="0" fillId="2" borderId="0" xfId="0" applyNumberFormat="1" applyFill="1" applyBorder="1" applyAlignment="1">
      <alignment horizontal="center" vertical="center"/>
    </xf>
    <xf numFmtId="1" fontId="6" fillId="2" borderId="0" xfId="0" applyNumberFormat="1" applyFont="1" applyFill="1" applyBorder="1" applyAlignment="1">
      <alignment horizontal="center" vertical="center"/>
    </xf>
    <xf numFmtId="1" fontId="1" fillId="3" borderId="0" xfId="0" applyNumberFormat="1" applyFont="1" applyFill="1" applyBorder="1" applyAlignment="1">
      <alignment horizontal="center" vertical="center"/>
    </xf>
    <xf numFmtId="1" fontId="1" fillId="4" borderId="0" xfId="0" applyNumberFormat="1" applyFont="1" applyFill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1" fillId="12" borderId="0" xfId="0" applyFont="1" applyFill="1" applyBorder="1" applyAlignment="1">
      <alignment horizontal="center" vertical="center" wrapText="1" shrinkToFit="1"/>
    </xf>
    <xf numFmtId="0" fontId="10" fillId="0" borderId="0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0" fillId="5" borderId="0" xfId="0" applyFill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12" fillId="0" borderId="0" xfId="0" applyFont="1" applyBorder="1" applyAlignment="1">
      <alignment horizontal="center" vertical="center"/>
    </xf>
    <xf numFmtId="0" fontId="13" fillId="0" borderId="0" xfId="0" applyFont="1" applyBorder="1" applyAlignment="1">
      <alignment horizontal="center" vertical="center"/>
    </xf>
    <xf numFmtId="0" fontId="11" fillId="13" borderId="0" xfId="0" applyFont="1" applyFill="1" applyBorder="1" applyAlignment="1">
      <alignment horizontal="center" vertical="center" wrapText="1" shrinkToFit="1"/>
    </xf>
    <xf numFmtId="1" fontId="1" fillId="3" borderId="10" xfId="0" applyNumberFormat="1" applyFont="1" applyFill="1" applyBorder="1" applyAlignment="1">
      <alignment horizontal="center" vertical="center"/>
    </xf>
    <xf numFmtId="1" fontId="0" fillId="0" borderId="10" xfId="0" applyNumberFormat="1" applyBorder="1" applyAlignment="1">
      <alignment horizontal="center" vertical="center"/>
    </xf>
    <xf numFmtId="166" fontId="0" fillId="0" borderId="10" xfId="0" applyNumberFormat="1" applyBorder="1" applyAlignment="1">
      <alignment horizontal="center" vertical="center"/>
    </xf>
    <xf numFmtId="2" fontId="0" fillId="0" borderId="10" xfId="0" applyNumberFormat="1" applyBorder="1" applyAlignment="1">
      <alignment horizontal="center" vertical="center"/>
    </xf>
    <xf numFmtId="1" fontId="1" fillId="4" borderId="10" xfId="0" applyNumberFormat="1" applyFont="1" applyFill="1" applyBorder="1" applyAlignment="1">
      <alignment horizontal="center" vertical="center"/>
    </xf>
    <xf numFmtId="165" fontId="0" fillId="14" borderId="0" xfId="0" applyNumberFormat="1" applyFill="1" applyBorder="1" applyAlignment="1">
      <alignment horizontal="center" vertical="center"/>
    </xf>
    <xf numFmtId="1" fontId="0" fillId="14" borderId="0" xfId="0" applyNumberFormat="1" applyFill="1" applyBorder="1" applyAlignment="1">
      <alignment horizontal="center" vertical="center"/>
    </xf>
    <xf numFmtId="2" fontId="0" fillId="14" borderId="0" xfId="0" applyNumberFormat="1" applyFill="1" applyBorder="1" applyAlignment="1">
      <alignment horizontal="center" vertical="center"/>
    </xf>
    <xf numFmtId="165" fontId="0" fillId="13" borderId="10" xfId="0" applyNumberFormat="1" applyFill="1" applyBorder="1" applyAlignment="1">
      <alignment horizontal="center" vertical="center"/>
    </xf>
    <xf numFmtId="1" fontId="0" fillId="13" borderId="10" xfId="0" applyNumberFormat="1" applyFill="1" applyBorder="1" applyAlignment="1">
      <alignment horizontal="center" vertical="center"/>
    </xf>
    <xf numFmtId="2" fontId="0" fillId="13" borderId="10" xfId="0" applyNumberFormat="1" applyFill="1" applyBorder="1" applyAlignment="1">
      <alignment horizontal="center" vertical="center"/>
    </xf>
    <xf numFmtId="2" fontId="0" fillId="13" borderId="0" xfId="0" applyNumberFormat="1" applyFill="1" applyBorder="1" applyAlignment="1">
      <alignment horizontal="center" vertical="center"/>
    </xf>
    <xf numFmtId="2" fontId="0" fillId="0" borderId="0" xfId="0" applyNumberFormat="1" applyFill="1" applyBorder="1" applyAlignment="1">
      <alignment horizontal="center" vertical="center"/>
    </xf>
    <xf numFmtId="1" fontId="15" fillId="2" borderId="0" xfId="0" applyNumberFormat="1" applyFont="1" applyFill="1" applyBorder="1" applyAlignment="1">
      <alignment horizontal="center" vertical="center"/>
    </xf>
    <xf numFmtId="165" fontId="15" fillId="0" borderId="0" xfId="0" applyNumberFormat="1" applyFont="1" applyBorder="1" applyAlignment="1">
      <alignment horizontal="center" vertical="center"/>
    </xf>
    <xf numFmtId="1" fontId="15" fillId="0" borderId="0" xfId="0" applyNumberFormat="1" applyFont="1" applyBorder="1" applyAlignment="1">
      <alignment horizontal="center" vertical="center"/>
    </xf>
    <xf numFmtId="2" fontId="15" fillId="0" borderId="0" xfId="0" applyNumberFormat="1" applyFont="1" applyBorder="1" applyAlignment="1">
      <alignment horizontal="center" vertical="center"/>
    </xf>
    <xf numFmtId="0" fontId="9" fillId="0" borderId="0" xfId="0" applyFont="1" applyBorder="1" applyAlignment="1">
      <alignment vertical="center" wrapText="1" shrinkToFit="1"/>
    </xf>
    <xf numFmtId="0" fontId="16" fillId="0" borderId="0" xfId="0" applyFont="1" applyBorder="1" applyAlignment="1">
      <alignment horizontal="center" vertical="center"/>
    </xf>
    <xf numFmtId="0" fontId="15" fillId="0" borderId="0" xfId="0" applyFont="1" applyBorder="1" applyAlignment="1">
      <alignment horizontal="center" vertical="center"/>
    </xf>
    <xf numFmtId="165" fontId="17" fillId="0" borderId="0" xfId="0" applyNumberFormat="1" applyFont="1" applyBorder="1" applyAlignment="1">
      <alignment horizontal="center" vertical="center"/>
    </xf>
    <xf numFmtId="1" fontId="17" fillId="0" borderId="0" xfId="0" applyNumberFormat="1" applyFont="1" applyBorder="1" applyAlignment="1">
      <alignment horizontal="center" vertical="center"/>
    </xf>
    <xf numFmtId="166" fontId="17" fillId="0" borderId="0" xfId="0" applyNumberFormat="1" applyFont="1" applyBorder="1" applyAlignment="1">
      <alignment horizontal="center" vertical="center"/>
    </xf>
    <xf numFmtId="2" fontId="17" fillId="0" borderId="0" xfId="0" applyNumberFormat="1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49" fontId="17" fillId="0" borderId="0" xfId="0" applyNumberFormat="1" applyFont="1" applyBorder="1" applyAlignment="1">
      <alignment horizontal="center" vertical="center"/>
    </xf>
    <xf numFmtId="0" fontId="7" fillId="15" borderId="3" xfId="0" applyFont="1" applyFill="1" applyBorder="1" applyAlignment="1">
      <alignment horizontal="center" vertical="center"/>
    </xf>
    <xf numFmtId="1" fontId="7" fillId="15" borderId="0" xfId="0" applyNumberFormat="1" applyFont="1" applyFill="1" applyBorder="1" applyAlignment="1">
      <alignment horizontal="center" vertical="center"/>
    </xf>
    <xf numFmtId="165" fontId="7" fillId="15" borderId="0" xfId="0" applyNumberFormat="1" applyFont="1" applyFill="1" applyBorder="1" applyAlignment="1">
      <alignment horizontal="center" vertical="center"/>
    </xf>
    <xf numFmtId="164" fontId="7" fillId="15" borderId="0" xfId="0" applyNumberFormat="1" applyFont="1" applyFill="1" applyBorder="1" applyAlignment="1">
      <alignment horizontal="center" vertical="center"/>
    </xf>
    <xf numFmtId="1" fontId="7" fillId="15" borderId="4" xfId="0" applyNumberFormat="1" applyFont="1" applyFill="1" applyBorder="1" applyAlignment="1">
      <alignment horizontal="center" vertical="center"/>
    </xf>
    <xf numFmtId="0" fontId="16" fillId="0" borderId="0" xfId="0" applyFont="1"/>
    <xf numFmtId="0" fontId="7" fillId="16" borderId="3" xfId="0" applyFont="1" applyFill="1" applyBorder="1" applyAlignment="1">
      <alignment horizontal="center" vertical="center"/>
    </xf>
    <xf numFmtId="1" fontId="7" fillId="16" borderId="4" xfId="0" applyNumberFormat="1" applyFont="1" applyFill="1" applyBorder="1" applyAlignment="1">
      <alignment horizontal="center" vertical="center"/>
    </xf>
    <xf numFmtId="0" fontId="0" fillId="16" borderId="0" xfId="0" applyFill="1"/>
    <xf numFmtId="0" fontId="7" fillId="17" borderId="3" xfId="0" applyFont="1" applyFill="1" applyBorder="1" applyAlignment="1">
      <alignment horizontal="center" vertical="center"/>
    </xf>
    <xf numFmtId="1" fontId="7" fillId="17" borderId="0" xfId="0" applyNumberFormat="1" applyFont="1" applyFill="1" applyBorder="1" applyAlignment="1">
      <alignment horizontal="center" vertical="center"/>
    </xf>
    <xf numFmtId="165" fontId="7" fillId="17" borderId="0" xfId="0" applyNumberFormat="1" applyFont="1" applyFill="1" applyBorder="1" applyAlignment="1">
      <alignment horizontal="center" vertical="center"/>
    </xf>
    <xf numFmtId="164" fontId="7" fillId="17" borderId="0" xfId="0" applyNumberFormat="1" applyFont="1" applyFill="1" applyBorder="1" applyAlignment="1">
      <alignment horizontal="center" vertical="center"/>
    </xf>
    <xf numFmtId="1" fontId="7" fillId="17" borderId="4" xfId="0" applyNumberFormat="1" applyFont="1" applyFill="1" applyBorder="1" applyAlignment="1">
      <alignment horizontal="center" vertical="center"/>
    </xf>
    <xf numFmtId="0" fontId="7" fillId="14" borderId="3" xfId="0" applyFont="1" applyFill="1" applyBorder="1" applyAlignment="1">
      <alignment horizontal="center" vertical="center"/>
    </xf>
    <xf numFmtId="1" fontId="7" fillId="14" borderId="0" xfId="0" applyNumberFormat="1" applyFont="1" applyFill="1" applyBorder="1" applyAlignment="1">
      <alignment horizontal="center" vertical="center"/>
    </xf>
    <xf numFmtId="165" fontId="7" fillId="14" borderId="0" xfId="0" applyNumberFormat="1" applyFont="1" applyFill="1" applyBorder="1" applyAlignment="1">
      <alignment horizontal="center" vertical="center"/>
    </xf>
    <xf numFmtId="164" fontId="7" fillId="14" borderId="0" xfId="0" applyNumberFormat="1" applyFont="1" applyFill="1" applyBorder="1" applyAlignment="1">
      <alignment horizontal="center" vertical="center"/>
    </xf>
    <xf numFmtId="1" fontId="7" fillId="14" borderId="4" xfId="0" applyNumberFormat="1" applyFont="1" applyFill="1" applyBorder="1" applyAlignment="1">
      <alignment horizontal="center" vertical="center"/>
    </xf>
    <xf numFmtId="0" fontId="8" fillId="18" borderId="3" xfId="0" applyFont="1" applyFill="1" applyBorder="1" applyAlignment="1">
      <alignment horizontal="center" vertical="center"/>
    </xf>
    <xf numFmtId="1" fontId="18" fillId="18" borderId="0" xfId="0" applyNumberFormat="1" applyFont="1" applyFill="1" applyBorder="1" applyAlignment="1">
      <alignment horizontal="center" vertical="center"/>
    </xf>
    <xf numFmtId="165" fontId="18" fillId="18" borderId="0" xfId="0" applyNumberFormat="1" applyFont="1" applyFill="1" applyBorder="1" applyAlignment="1">
      <alignment horizontal="center" vertical="center"/>
    </xf>
    <xf numFmtId="164" fontId="18" fillId="18" borderId="0" xfId="0" applyNumberFormat="1" applyFont="1" applyFill="1" applyBorder="1" applyAlignment="1">
      <alignment horizontal="center" vertical="center"/>
    </xf>
    <xf numFmtId="0" fontId="7" fillId="13" borderId="3" xfId="0" applyFont="1" applyFill="1" applyBorder="1" applyAlignment="1">
      <alignment horizontal="center" vertical="center"/>
    </xf>
    <xf numFmtId="1" fontId="7" fillId="13" borderId="0" xfId="0" applyNumberFormat="1" applyFont="1" applyFill="1" applyBorder="1" applyAlignment="1">
      <alignment horizontal="center" vertical="center"/>
    </xf>
    <xf numFmtId="165" fontId="7" fillId="13" borderId="0" xfId="0" applyNumberFormat="1" applyFont="1" applyFill="1" applyBorder="1" applyAlignment="1">
      <alignment horizontal="center" vertical="center"/>
    </xf>
    <xf numFmtId="164" fontId="7" fillId="13" borderId="0" xfId="0" applyNumberFormat="1" applyFont="1" applyFill="1" applyBorder="1" applyAlignment="1">
      <alignment horizontal="center" vertical="center"/>
    </xf>
    <xf numFmtId="1" fontId="7" fillId="13" borderId="4" xfId="0" applyNumberFormat="1" applyFont="1" applyFill="1" applyBorder="1" applyAlignment="1">
      <alignment horizontal="center" vertical="center"/>
    </xf>
    <xf numFmtId="0" fontId="16" fillId="13" borderId="0" xfId="0" applyFont="1" applyFill="1"/>
    <xf numFmtId="0" fontId="0" fillId="13" borderId="0" xfId="0" applyFill="1"/>
    <xf numFmtId="0" fontId="8" fillId="19" borderId="3" xfId="0" applyFont="1" applyFill="1" applyBorder="1" applyAlignment="1">
      <alignment horizontal="center" vertical="center"/>
    </xf>
    <xf numFmtId="1" fontId="18" fillId="19" borderId="0" xfId="0" applyNumberFormat="1" applyFont="1" applyFill="1" applyBorder="1" applyAlignment="1">
      <alignment horizontal="center" vertical="center"/>
    </xf>
    <xf numFmtId="165" fontId="18" fillId="19" borderId="0" xfId="0" applyNumberFormat="1" applyFont="1" applyFill="1" applyBorder="1" applyAlignment="1">
      <alignment horizontal="center" vertical="center"/>
    </xf>
    <xf numFmtId="164" fontId="18" fillId="19" borderId="0" xfId="0" applyNumberFormat="1" applyFont="1" applyFill="1" applyBorder="1" applyAlignment="1">
      <alignment horizontal="center" vertical="center"/>
    </xf>
    <xf numFmtId="1" fontId="18" fillId="19" borderId="4" xfId="0" applyNumberFormat="1" applyFont="1" applyFill="1" applyBorder="1" applyAlignment="1">
      <alignment horizontal="center" vertical="center"/>
    </xf>
    <xf numFmtId="1" fontId="18" fillId="20" borderId="2" xfId="0" applyNumberFormat="1" applyFont="1" applyFill="1" applyBorder="1" applyAlignment="1">
      <alignment horizontal="center" vertical="center"/>
    </xf>
    <xf numFmtId="165" fontId="18" fillId="20" borderId="2" xfId="0" applyNumberFormat="1" applyFont="1" applyFill="1" applyBorder="1" applyAlignment="1">
      <alignment horizontal="center" vertical="center"/>
    </xf>
    <xf numFmtId="165" fontId="18" fillId="20" borderId="12" xfId="0" applyNumberFormat="1" applyFont="1" applyFill="1" applyBorder="1" applyAlignment="1">
      <alignment horizontal="center" vertical="center"/>
    </xf>
    <xf numFmtId="164" fontId="18" fillId="20" borderId="2" xfId="0" applyNumberFormat="1" applyFont="1" applyFill="1" applyBorder="1" applyAlignment="1">
      <alignment horizontal="center" vertical="center"/>
    </xf>
    <xf numFmtId="1" fontId="18" fillId="20" borderId="8" xfId="0" applyNumberFormat="1" applyFont="1" applyFill="1" applyBorder="1" applyAlignment="1">
      <alignment horizontal="center" vertical="center"/>
    </xf>
    <xf numFmtId="1" fontId="18" fillId="21" borderId="10" xfId="0" applyNumberFormat="1" applyFont="1" applyFill="1" applyBorder="1" applyAlignment="1">
      <alignment horizontal="center" vertical="center"/>
    </xf>
    <xf numFmtId="165" fontId="18" fillId="21" borderId="10" xfId="0" applyNumberFormat="1" applyFont="1" applyFill="1" applyBorder="1" applyAlignment="1">
      <alignment horizontal="center" vertical="center"/>
    </xf>
    <xf numFmtId="164" fontId="18" fillId="21" borderId="10" xfId="0" applyNumberFormat="1" applyFont="1" applyFill="1" applyBorder="1" applyAlignment="1">
      <alignment horizontal="center" vertical="center"/>
    </xf>
    <xf numFmtId="1" fontId="18" fillId="21" borderId="11" xfId="0" applyNumberFormat="1" applyFont="1" applyFill="1" applyBorder="1" applyAlignment="1">
      <alignment horizontal="center" vertical="center"/>
    </xf>
    <xf numFmtId="0" fontId="9" fillId="0" borderId="0" xfId="0" applyFont="1" applyBorder="1" applyAlignment="1">
      <alignment horizontal="center" vertical="center" wrapText="1" shrinkToFit="1"/>
    </xf>
    <xf numFmtId="0" fontId="4" fillId="0" borderId="13" xfId="0" applyFont="1" applyBorder="1" applyAlignment="1">
      <alignment horizontal="center" vertical="center" wrapText="1"/>
    </xf>
    <xf numFmtId="0" fontId="3" fillId="0" borderId="14" xfId="0" applyFont="1" applyBorder="1" applyAlignment="1">
      <alignment horizontal="center" vertical="center" wrapText="1"/>
    </xf>
    <xf numFmtId="0" fontId="3" fillId="0" borderId="15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30"/>
  <sheetViews>
    <sheetView tabSelected="1" zoomScale="150" zoomScaleNormal="150" workbookViewId="0">
      <pane xSplit="11" ySplit="6" topLeftCell="L7" activePane="bottomRight" state="frozen"/>
      <selection pane="topRight" activeCell="N1" sqref="N1"/>
      <selection pane="bottomLeft" activeCell="A7" sqref="A7"/>
      <selection pane="bottomRight" activeCell="P23" sqref="P23"/>
    </sheetView>
  </sheetViews>
  <sheetFormatPr defaultColWidth="9.109375" defaultRowHeight="13.2" x14ac:dyDescent="0.25"/>
  <cols>
    <col min="1" max="1" width="0.33203125" style="53" customWidth="1"/>
    <col min="2" max="2" width="0" style="53" hidden="1" customWidth="1"/>
    <col min="3" max="3" width="8.5546875" style="65" customWidth="1"/>
    <col min="4" max="4" width="1.5546875" style="53" hidden="1" customWidth="1"/>
    <col min="5" max="7" width="9.109375" style="53"/>
    <col min="8" max="8" width="10.33203125" style="53" customWidth="1"/>
    <col min="9" max="9" width="8.109375" style="53" customWidth="1"/>
    <col min="10" max="10" width="14.33203125" style="53" customWidth="1"/>
    <col min="11" max="11" width="8.88671875" style="53" customWidth="1"/>
    <col min="12" max="12" width="9.109375" style="53"/>
    <col min="13" max="13" width="14.44140625" style="53" customWidth="1"/>
    <col min="14" max="16384" width="9.109375" style="53"/>
  </cols>
  <sheetData>
    <row r="1" spans="1:16" ht="48" customHeight="1" x14ac:dyDescent="0.25">
      <c r="C1" s="138" t="s">
        <v>15</v>
      </c>
      <c r="D1" s="138"/>
      <c r="E1" s="138"/>
      <c r="F1" s="138"/>
      <c r="G1" s="138"/>
      <c r="H1" s="138"/>
      <c r="I1" s="138"/>
      <c r="J1" s="138"/>
      <c r="K1" s="138"/>
      <c r="L1" s="85"/>
      <c r="M1" s="85"/>
      <c r="N1" s="86" t="s">
        <v>11</v>
      </c>
    </row>
    <row r="2" spans="1:16" s="61" customFormat="1" ht="54" customHeight="1" x14ac:dyDescent="0.25">
      <c r="A2" s="59"/>
      <c r="B2" s="59"/>
      <c r="C2" s="67" t="s">
        <v>2</v>
      </c>
      <c r="D2" s="37"/>
      <c r="E2" s="38" t="s">
        <v>17</v>
      </c>
      <c r="F2" s="52" t="s">
        <v>4</v>
      </c>
      <c r="G2" s="38" t="s">
        <v>5</v>
      </c>
      <c r="H2" s="39" t="s">
        <v>18</v>
      </c>
      <c r="I2" s="40" t="s">
        <v>6</v>
      </c>
      <c r="J2" s="49" t="s">
        <v>10</v>
      </c>
      <c r="K2" s="52" t="s">
        <v>8</v>
      </c>
      <c r="L2" s="54" t="s">
        <v>9</v>
      </c>
      <c r="M2" s="60" t="s">
        <v>16</v>
      </c>
    </row>
    <row r="3" spans="1:16" s="62" customFormat="1" x14ac:dyDescent="0.25">
      <c r="A3" s="53"/>
      <c r="B3" s="53"/>
      <c r="C3" s="66">
        <f>1.2255*(1-E3/44300)^4.256</f>
        <v>1.2255</v>
      </c>
      <c r="D3" s="3"/>
      <c r="E3" s="3">
        <v>0</v>
      </c>
      <c r="F3" s="50">
        <f>SQRT(2*2300/0.7/8.8/C3)</f>
        <v>24.684930110989832</v>
      </c>
      <c r="G3" s="3">
        <f>F3*3.6</f>
        <v>88.865748399563401</v>
      </c>
      <c r="H3" s="50">
        <f t="shared" ref="H3:H12" si="0">2.3/22*F3/0.7</f>
        <v>3.6867103412517284</v>
      </c>
      <c r="I3" s="3">
        <f t="shared" ref="I3:I29" si="1">101324.72*(1-E3/44300)^5.256</f>
        <v>101324.72</v>
      </c>
      <c r="J3" s="51">
        <f t="shared" ref="J3:J12" si="2">101300/I3</f>
        <v>0.99975603189428996</v>
      </c>
      <c r="K3" s="51">
        <f t="shared" ref="K3:K29" si="3">C3/1.2255</f>
        <v>1</v>
      </c>
      <c r="L3" s="51">
        <f t="shared" ref="L3:L12" si="4">44*K3-4</f>
        <v>40</v>
      </c>
      <c r="M3" s="51"/>
    </row>
    <row r="4" spans="1:16" s="62" customFormat="1" x14ac:dyDescent="0.25">
      <c r="A4" s="53"/>
      <c r="B4" s="53"/>
      <c r="C4" s="66">
        <f t="shared" ref="C4:C15" si="5">1.2255*(1-E4/44300)^4.256</f>
        <v>1.1120172997678104</v>
      </c>
      <c r="D4" s="3"/>
      <c r="E4" s="3">
        <v>1000</v>
      </c>
      <c r="F4" s="50">
        <f t="shared" ref="F4:F29" si="6">SQRT(2*2300/0.7/8.8/C4)</f>
        <v>25.91390056125362</v>
      </c>
      <c r="G4" s="3">
        <f t="shared" ref="G4:G29" si="7">F4*3.6</f>
        <v>93.290042020513027</v>
      </c>
      <c r="H4" s="50">
        <f t="shared" si="0"/>
        <v>3.8702578760313848</v>
      </c>
      <c r="I4" s="3">
        <f t="shared" si="1"/>
        <v>89866.496439520357</v>
      </c>
      <c r="J4" s="51">
        <f t="shared" si="2"/>
        <v>1.1272276545038598</v>
      </c>
      <c r="K4" s="51">
        <f t="shared" si="3"/>
        <v>0.90739885741967385</v>
      </c>
      <c r="L4" s="51">
        <f t="shared" si="4"/>
        <v>35.925549726465647</v>
      </c>
      <c r="M4" s="51"/>
    </row>
    <row r="5" spans="1:16" s="62" customFormat="1" x14ac:dyDescent="0.25">
      <c r="A5" s="53"/>
      <c r="B5" s="53"/>
      <c r="C5" s="66">
        <f t="shared" si="5"/>
        <v>1.0067546873840096</v>
      </c>
      <c r="D5" s="3"/>
      <c r="E5" s="3">
        <v>2000</v>
      </c>
      <c r="F5" s="50">
        <f t="shared" si="6"/>
        <v>27.234959236937428</v>
      </c>
      <c r="G5" s="3">
        <f t="shared" si="7"/>
        <v>98.045853252974737</v>
      </c>
      <c r="H5" s="50">
        <f t="shared" si="0"/>
        <v>4.0675588470750705</v>
      </c>
      <c r="I5" s="3">
        <f t="shared" si="1"/>
        <v>79480.830820847026</v>
      </c>
      <c r="J5" s="51">
        <f t="shared" si="2"/>
        <v>1.274521151248837</v>
      </c>
      <c r="K5" s="51">
        <f t="shared" si="3"/>
        <v>0.82150525286332898</v>
      </c>
      <c r="L5" s="51">
        <f t="shared" si="4"/>
        <v>32.146231125986475</v>
      </c>
      <c r="M5" s="51"/>
    </row>
    <row r="6" spans="1:16" s="62" customFormat="1" x14ac:dyDescent="0.25">
      <c r="A6" s="63"/>
      <c r="B6" s="63"/>
      <c r="C6" s="66">
        <f t="shared" si="5"/>
        <v>0.90929012920776553</v>
      </c>
      <c r="D6" s="41"/>
      <c r="E6" s="5">
        <v>3000</v>
      </c>
      <c r="F6" s="50">
        <f t="shared" si="6"/>
        <v>28.657435357373288</v>
      </c>
      <c r="G6" s="3">
        <f t="shared" si="7"/>
        <v>103.16676728654384</v>
      </c>
      <c r="H6" s="50">
        <f t="shared" si="0"/>
        <v>4.2800065793479591</v>
      </c>
      <c r="I6" s="3">
        <f t="shared" si="1"/>
        <v>70089.16704551586</v>
      </c>
      <c r="J6" s="51">
        <f t="shared" si="2"/>
        <v>1.4453018101101964</v>
      </c>
      <c r="K6" s="51">
        <f t="shared" si="3"/>
        <v>0.74197480963505957</v>
      </c>
      <c r="L6" s="51">
        <f t="shared" si="4"/>
        <v>28.646891623942622</v>
      </c>
      <c r="M6" s="51"/>
    </row>
    <row r="7" spans="1:16" s="62" customFormat="1" x14ac:dyDescent="0.25">
      <c r="A7" s="53"/>
      <c r="B7" s="53"/>
      <c r="C7" s="66">
        <f t="shared" si="5"/>
        <v>0.81921393881961735</v>
      </c>
      <c r="D7" s="3"/>
      <c r="E7" s="55">
        <v>4000</v>
      </c>
      <c r="F7" s="50">
        <f t="shared" si="6"/>
        <v>30.191861681108733</v>
      </c>
      <c r="G7" s="3">
        <f t="shared" si="7"/>
        <v>108.69070205199144</v>
      </c>
      <c r="H7" s="50">
        <f t="shared" si="0"/>
        <v>4.5091741471785767</v>
      </c>
      <c r="I7" s="3">
        <f t="shared" si="1"/>
        <v>61617.028397329734</v>
      </c>
      <c r="J7" s="51">
        <f t="shared" si="2"/>
        <v>1.6440260531030411</v>
      </c>
      <c r="K7" s="51">
        <f t="shared" si="3"/>
        <v>0.66847322629099737</v>
      </c>
      <c r="L7" s="51">
        <f t="shared" si="4"/>
        <v>25.412821956803885</v>
      </c>
      <c r="M7" s="51"/>
    </row>
    <row r="8" spans="1:16" x14ac:dyDescent="0.25">
      <c r="C8" s="66">
        <f t="shared" si="5"/>
        <v>0.7361287016189566</v>
      </c>
      <c r="D8" s="3"/>
      <c r="E8" s="55">
        <v>5000</v>
      </c>
      <c r="F8" s="50">
        <f t="shared" si="6"/>
        <v>31.850164825863018</v>
      </c>
      <c r="G8" s="3">
        <f t="shared" si="7"/>
        <v>114.66059337310686</v>
      </c>
      <c r="H8" s="50">
        <f t="shared" si="0"/>
        <v>4.7568427986678534</v>
      </c>
      <c r="I8" s="3">
        <f t="shared" si="1"/>
        <v>53993.896789117636</v>
      </c>
      <c r="J8" s="51">
        <f t="shared" si="2"/>
        <v>1.8761379715867594</v>
      </c>
      <c r="K8" s="51">
        <f t="shared" si="3"/>
        <v>0.60067621511134772</v>
      </c>
      <c r="L8" s="51">
        <f t="shared" si="4"/>
        <v>22.429753464899299</v>
      </c>
      <c r="M8" s="51"/>
      <c r="P8" s="62"/>
    </row>
    <row r="9" spans="1:16" x14ac:dyDescent="0.25">
      <c r="C9" s="66">
        <f t="shared" si="5"/>
        <v>0.65964919805020483</v>
      </c>
      <c r="D9" s="3"/>
      <c r="E9" s="55">
        <v>6000</v>
      </c>
      <c r="F9" s="50">
        <f t="shared" si="6"/>
        <v>33.645891520610014</v>
      </c>
      <c r="G9" s="3">
        <f t="shared" si="7"/>
        <v>121.12520947419605</v>
      </c>
      <c r="H9" s="50">
        <f t="shared" si="0"/>
        <v>5.0250357465846127</v>
      </c>
      <c r="I9" s="3">
        <f t="shared" si="1"/>
        <v>47153.092755844576</v>
      </c>
      <c r="J9" s="51">
        <f t="shared" si="2"/>
        <v>2.148321437249606</v>
      </c>
      <c r="K9" s="51">
        <f t="shared" si="3"/>
        <v>0.53826943945345151</v>
      </c>
      <c r="L9" s="51">
        <f t="shared" si="4"/>
        <v>19.683855335951868</v>
      </c>
      <c r="M9" s="51"/>
      <c r="P9" s="62"/>
    </row>
    <row r="10" spans="1:16" x14ac:dyDescent="0.25">
      <c r="C10" s="66">
        <f t="shared" si="5"/>
        <v>0.58940232539774051</v>
      </c>
      <c r="D10" s="3"/>
      <c r="E10" s="55">
        <v>7000</v>
      </c>
      <c r="F10" s="50">
        <f t="shared" si="6"/>
        <v>35.594478735367865</v>
      </c>
      <c r="G10" s="3">
        <f t="shared" si="7"/>
        <v>128.14012344732433</v>
      </c>
      <c r="H10" s="50">
        <f t="shared" si="0"/>
        <v>5.3160585124250703</v>
      </c>
      <c r="I10" s="3">
        <f t="shared" si="1"/>
        <v>41031.656207815962</v>
      </c>
      <c r="J10" s="51">
        <f t="shared" si="2"/>
        <v>2.4688255206404208</v>
      </c>
      <c r="K10" s="51">
        <f t="shared" si="3"/>
        <v>0.48094844993695673</v>
      </c>
      <c r="L10" s="51">
        <f t="shared" si="4"/>
        <v>17.161731797226096</v>
      </c>
      <c r="M10" s="51"/>
      <c r="P10" s="62"/>
    </row>
    <row r="11" spans="1:16" x14ac:dyDescent="0.25">
      <c r="C11" s="66">
        <f t="shared" si="5"/>
        <v>0.52502701808540919</v>
      </c>
      <c r="D11" s="3"/>
      <c r="E11" s="55">
        <v>8000</v>
      </c>
      <c r="F11" s="50">
        <f t="shared" si="6"/>
        <v>37.713577662459329</v>
      </c>
      <c r="G11" s="3">
        <f t="shared" si="7"/>
        <v>135.76887958485358</v>
      </c>
      <c r="H11" s="50">
        <f t="shared" si="0"/>
        <v>5.6325473132244452</v>
      </c>
      <c r="I11" s="3">
        <f t="shared" si="1"/>
        <v>35570.227958326985</v>
      </c>
      <c r="J11" s="51">
        <f t="shared" si="2"/>
        <v>2.847887287050284</v>
      </c>
      <c r="K11" s="51">
        <f t="shared" si="3"/>
        <v>0.4284186194087386</v>
      </c>
      <c r="L11" s="51">
        <f t="shared" si="4"/>
        <v>14.850419253984498</v>
      </c>
      <c r="M11" s="51"/>
      <c r="P11" s="62"/>
    </row>
    <row r="12" spans="1:16" x14ac:dyDescent="0.25">
      <c r="C12" s="66">
        <f t="shared" si="5"/>
        <v>0.46617416641179499</v>
      </c>
      <c r="D12" s="3"/>
      <c r="E12" s="55">
        <v>9000</v>
      </c>
      <c r="F12" s="50">
        <f t="shared" si="6"/>
        <v>40.023444142100999</v>
      </c>
      <c r="G12" s="3">
        <f t="shared" si="7"/>
        <v>144.0843989115636</v>
      </c>
      <c r="H12" s="50">
        <f t="shared" si="0"/>
        <v>5.9775273718722275</v>
      </c>
      <c r="I12" s="3">
        <f t="shared" si="1"/>
        <v>30712.932040760465</v>
      </c>
      <c r="J12" s="51">
        <f t="shared" si="2"/>
        <v>3.2982849004959989</v>
      </c>
      <c r="K12" s="51">
        <f t="shared" si="3"/>
        <v>0.38039507663141164</v>
      </c>
      <c r="L12" s="51">
        <f t="shared" si="4"/>
        <v>12.737383371782112</v>
      </c>
      <c r="M12" s="51"/>
    </row>
    <row r="13" spans="1:16" x14ac:dyDescent="0.25">
      <c r="C13" s="66">
        <f t="shared" si="5"/>
        <v>0.45564363826084275</v>
      </c>
      <c r="D13" s="3"/>
      <c r="E13" s="81">
        <v>9189</v>
      </c>
      <c r="F13" s="82">
        <f>SQRT(2*2000/0.7/10/C13)</f>
        <v>35.413456695237734</v>
      </c>
      <c r="G13" s="83">
        <f t="shared" si="7"/>
        <v>127.48844410285585</v>
      </c>
      <c r="H13" s="82">
        <f>2/8*F13/0.7</f>
        <v>12.647663105442049</v>
      </c>
      <c r="I13" s="83">
        <f t="shared" si="1"/>
        <v>29858.423960018703</v>
      </c>
      <c r="J13" s="51"/>
      <c r="K13" s="84">
        <f t="shared" si="3"/>
        <v>0.37180223440297244</v>
      </c>
      <c r="L13" s="84">
        <f>44*K13-3</f>
        <v>13.359298313730786</v>
      </c>
      <c r="M13" s="84" t="s">
        <v>12</v>
      </c>
      <c r="N13" s="87">
        <v>1989</v>
      </c>
    </row>
    <row r="14" spans="1:16" x14ac:dyDescent="0.25">
      <c r="C14" s="66">
        <f t="shared" si="5"/>
        <v>0.41250653364731776</v>
      </c>
      <c r="D14" s="3"/>
      <c r="E14" s="55">
        <v>10000</v>
      </c>
      <c r="F14" s="50">
        <f t="shared" si="6"/>
        <v>42.547411529930585</v>
      </c>
      <c r="G14" s="3">
        <f t="shared" si="7"/>
        <v>153.17068150775012</v>
      </c>
      <c r="H14" s="50">
        <f t="shared" ref="H14:H20" si="8">2.3/22*F14/0.7</f>
        <v>6.3544835401844377</v>
      </c>
      <c r="I14" s="3">
        <f t="shared" si="1"/>
        <v>26407.258830835846</v>
      </c>
      <c r="J14" s="51">
        <f t="shared" ref="J14:J22" si="9">101300/I14</f>
        <v>3.8360664637297242</v>
      </c>
      <c r="K14" s="51">
        <f t="shared" si="3"/>
        <v>0.3366026386351022</v>
      </c>
      <c r="L14" s="51">
        <f t="shared" ref="L14:L21" si="10">44*K14-4</f>
        <v>10.810516099944497</v>
      </c>
      <c r="M14" s="51">
        <f t="shared" ref="M14:M27" si="11">44*K14*4-4</f>
        <v>55.242064399777988</v>
      </c>
    </row>
    <row r="15" spans="1:16" s="64" customFormat="1" x14ac:dyDescent="0.25">
      <c r="C15" s="66">
        <f t="shared" si="5"/>
        <v>0.36369867141356271</v>
      </c>
      <c r="D15" s="7"/>
      <c r="E15" s="56">
        <v>11000</v>
      </c>
      <c r="F15" s="73">
        <f t="shared" si="6"/>
        <v>45.3124664613146</v>
      </c>
      <c r="G15" s="74">
        <f t="shared" si="7"/>
        <v>163.12487926073257</v>
      </c>
      <c r="H15" s="73">
        <f t="shared" si="8"/>
        <v>6.7674462896768555</v>
      </c>
      <c r="I15" s="74">
        <f t="shared" si="1"/>
        <v>22603.948990464967</v>
      </c>
      <c r="J15" s="75">
        <f t="shared" si="9"/>
        <v>4.4815178110130853</v>
      </c>
      <c r="K15" s="75">
        <f t="shared" si="3"/>
        <v>0.29677574166753384</v>
      </c>
      <c r="L15" s="75">
        <f t="shared" si="10"/>
        <v>9.0581326333714891</v>
      </c>
      <c r="M15" s="51">
        <f t="shared" si="11"/>
        <v>48.232530533485956</v>
      </c>
    </row>
    <row r="16" spans="1:16" s="64" customFormat="1" x14ac:dyDescent="0.25">
      <c r="C16" s="66">
        <f>0.3637*2.718281828^-((E16-11000)/6340)</f>
        <v>0.31062942598553694</v>
      </c>
      <c r="D16" s="7"/>
      <c r="E16" s="56">
        <v>12000</v>
      </c>
      <c r="F16" s="50">
        <f t="shared" si="6"/>
        <v>49.030606190874842</v>
      </c>
      <c r="G16" s="3">
        <f t="shared" si="7"/>
        <v>176.51018228714943</v>
      </c>
      <c r="H16" s="50">
        <f t="shared" si="8"/>
        <v>7.3227528726631261</v>
      </c>
      <c r="I16" s="3">
        <f t="shared" si="1"/>
        <v>19256.878250480873</v>
      </c>
      <c r="J16" s="51">
        <f t="shared" si="9"/>
        <v>5.2604580390630238</v>
      </c>
      <c r="K16" s="51">
        <f t="shared" si="3"/>
        <v>0.25347158383152751</v>
      </c>
      <c r="L16" s="51">
        <f t="shared" si="10"/>
        <v>7.1527496885872104</v>
      </c>
      <c r="M16" s="51">
        <f t="shared" si="11"/>
        <v>40.610998754348842</v>
      </c>
    </row>
    <row r="17" spans="3:14" s="64" customFormat="1" x14ac:dyDescent="0.25">
      <c r="C17" s="66">
        <f t="shared" ref="C17:C27" si="12">0.3637*2.718281828^-((E17-11000)/6340)</f>
        <v>0.26530283279654704</v>
      </c>
      <c r="D17" s="7"/>
      <c r="E17" s="56">
        <v>13000</v>
      </c>
      <c r="F17" s="50">
        <f t="shared" si="6"/>
        <v>53.053936853863171</v>
      </c>
      <c r="G17" s="3">
        <f t="shared" si="7"/>
        <v>190.99417267390743</v>
      </c>
      <c r="H17" s="50">
        <f t="shared" si="8"/>
        <v>7.9236399197328113</v>
      </c>
      <c r="I17" s="3">
        <f t="shared" si="1"/>
        <v>16322.943050381813</v>
      </c>
      <c r="J17" s="51">
        <f t="shared" si="9"/>
        <v>6.2059886925618155</v>
      </c>
      <c r="K17" s="51">
        <f t="shared" si="3"/>
        <v>0.21648537967894493</v>
      </c>
      <c r="L17" s="51">
        <f t="shared" si="10"/>
        <v>5.5253567058735769</v>
      </c>
      <c r="M17" s="51">
        <f t="shared" si="11"/>
        <v>34.101426823494307</v>
      </c>
    </row>
    <row r="18" spans="3:14" x14ac:dyDescent="0.25">
      <c r="C18" s="66">
        <f t="shared" si="12"/>
        <v>0.22659023003554657</v>
      </c>
      <c r="D18" s="3"/>
      <c r="E18" s="57">
        <v>14000</v>
      </c>
      <c r="F18" s="50">
        <f t="shared" si="6"/>
        <v>57.407412111856615</v>
      </c>
      <c r="G18" s="3">
        <f t="shared" si="7"/>
        <v>206.66668360268383</v>
      </c>
      <c r="H18" s="50">
        <f t="shared" si="8"/>
        <v>8.5738342764461173</v>
      </c>
      <c r="I18" s="3">
        <f t="shared" si="1"/>
        <v>13761.947054180337</v>
      </c>
      <c r="J18" s="51">
        <f t="shared" si="9"/>
        <v>7.3608770329652629</v>
      </c>
      <c r="K18" s="51">
        <f t="shared" si="3"/>
        <v>0.18489614853981767</v>
      </c>
      <c r="L18" s="51">
        <f t="shared" si="10"/>
        <v>4.1354305357519774</v>
      </c>
      <c r="M18" s="51">
        <f t="shared" si="11"/>
        <v>28.54172214300791</v>
      </c>
    </row>
    <row r="19" spans="3:14" x14ac:dyDescent="0.25">
      <c r="C19" s="66">
        <f t="shared" si="12"/>
        <v>0.19352651385722461</v>
      </c>
      <c r="D19" s="3"/>
      <c r="E19" s="57">
        <v>15000</v>
      </c>
      <c r="F19" s="50">
        <f t="shared" si="6"/>
        <v>62.118122816376243</v>
      </c>
      <c r="G19" s="3">
        <f t="shared" si="7"/>
        <v>223.62524213895449</v>
      </c>
      <c r="H19" s="50">
        <f t="shared" si="8"/>
        <v>9.2773819790691796</v>
      </c>
      <c r="I19" s="3">
        <f t="shared" si="1"/>
        <v>11536.488562474977</v>
      </c>
      <c r="J19" s="51">
        <f t="shared" si="9"/>
        <v>8.7808347792673267</v>
      </c>
      <c r="K19" s="51">
        <f t="shared" si="3"/>
        <v>0.15791637197651948</v>
      </c>
      <c r="L19" s="51">
        <f t="shared" si="10"/>
        <v>2.9483203669668567</v>
      </c>
      <c r="M19" s="51">
        <f t="shared" si="11"/>
        <v>23.793281467867427</v>
      </c>
    </row>
    <row r="20" spans="3:14" x14ac:dyDescent="0.25">
      <c r="C20" s="66">
        <f t="shared" si="12"/>
        <v>0.16528740696302377</v>
      </c>
      <c r="D20" s="3"/>
      <c r="E20" s="57">
        <v>16000</v>
      </c>
      <c r="F20" s="50">
        <f t="shared" si="6"/>
        <v>67.21538282742857</v>
      </c>
      <c r="G20" s="3">
        <f t="shared" si="7"/>
        <v>241.97537817874286</v>
      </c>
      <c r="H20" s="50">
        <f t="shared" si="8"/>
        <v>10.038661071628942</v>
      </c>
      <c r="I20" s="3">
        <f t="shared" si="1"/>
        <v>9611.8488419808145</v>
      </c>
      <c r="J20" s="50">
        <f t="shared" si="9"/>
        <v>10.539075433392275</v>
      </c>
      <c r="K20" s="51">
        <f t="shared" si="3"/>
        <v>0.13487344509426663</v>
      </c>
      <c r="L20" s="51">
        <f t="shared" si="10"/>
        <v>1.934431584147732</v>
      </c>
      <c r="M20" s="51">
        <f t="shared" si="11"/>
        <v>19.737726336590928</v>
      </c>
    </row>
    <row r="21" spans="3:14" x14ac:dyDescent="0.25">
      <c r="C21" s="66">
        <f t="shared" si="12"/>
        <v>0.14116890939665083</v>
      </c>
      <c r="D21" s="3"/>
      <c r="E21" s="57">
        <v>17000</v>
      </c>
      <c r="F21" s="50">
        <f t="shared" si="6"/>
        <v>72.730911428101308</v>
      </c>
      <c r="G21" s="3">
        <f t="shared" si="7"/>
        <v>261.83128114116471</v>
      </c>
      <c r="H21" s="50">
        <f t="shared" ref="H21" si="13">2.3/22*F21/0.7</f>
        <v>10.862408849651494</v>
      </c>
      <c r="I21" s="3">
        <f t="shared" si="1"/>
        <v>7955.8813949730211</v>
      </c>
      <c r="J21" s="50">
        <f t="shared" si="9"/>
        <v>12.73271872353541</v>
      </c>
      <c r="K21" s="51">
        <f t="shared" si="3"/>
        <v>0.11519290852439888</v>
      </c>
      <c r="L21" s="51">
        <f t="shared" si="10"/>
        <v>1.068487975073551</v>
      </c>
      <c r="M21" s="51">
        <f t="shared" si="11"/>
        <v>16.273951900294204</v>
      </c>
    </row>
    <row r="22" spans="3:14" x14ac:dyDescent="0.25">
      <c r="C22" s="66">
        <f t="shared" si="12"/>
        <v>0.13933284370304516</v>
      </c>
      <c r="D22" s="3"/>
      <c r="E22" s="57">
        <v>17083</v>
      </c>
      <c r="F22" s="88">
        <f>SQRT(2*14000/0.9/35.5/C22)</f>
        <v>79.307970061465923</v>
      </c>
      <c r="G22" s="89">
        <f t="shared" si="7"/>
        <v>285.50869222127733</v>
      </c>
      <c r="H22" s="88">
        <f>14/9*F22/0.8</f>
        <v>154.20994178618372</v>
      </c>
      <c r="I22" s="3">
        <f t="shared" si="1"/>
        <v>7829.5679688234886</v>
      </c>
      <c r="J22" s="50">
        <f t="shared" si="9"/>
        <v>12.938134058400909</v>
      </c>
      <c r="K22" s="90">
        <f t="shared" si="3"/>
        <v>0.11369469090415761</v>
      </c>
      <c r="L22" s="93" t="s">
        <v>14</v>
      </c>
      <c r="M22" s="91" t="s">
        <v>13</v>
      </c>
      <c r="N22" s="92">
        <v>1938</v>
      </c>
    </row>
    <row r="23" spans="3:14" ht="13.8" thickBot="1" x14ac:dyDescent="0.3">
      <c r="C23" s="66">
        <f t="shared" si="12"/>
        <v>0.12056974784956258</v>
      </c>
      <c r="D23" s="3"/>
      <c r="E23" s="68">
        <v>18000</v>
      </c>
      <c r="F23" s="78">
        <f t="shared" si="6"/>
        <v>78.699030707650991</v>
      </c>
      <c r="G23" s="78">
        <f t="shared" si="7"/>
        <v>283.3165105475436</v>
      </c>
      <c r="H23" s="78">
        <f t="shared" ref="H23:H29" si="14">2.3/22*F23/0.7</f>
        <v>11.753751339454368</v>
      </c>
      <c r="I23" s="77">
        <f t="shared" si="1"/>
        <v>6538.9021924316667</v>
      </c>
      <c r="J23" s="76">
        <f t="shared" ref="J23:J29" si="15">101300/I23</f>
        <v>15.49189711344021</v>
      </c>
      <c r="K23" s="78">
        <f t="shared" si="3"/>
        <v>9.838412717222568E-2</v>
      </c>
      <c r="L23" s="78">
        <f>44*K23-4</f>
        <v>0.32890159557793019</v>
      </c>
      <c r="M23" s="79">
        <f t="shared" si="11"/>
        <v>13.315606382311721</v>
      </c>
    </row>
    <row r="24" spans="3:14" x14ac:dyDescent="0.25">
      <c r="C24" s="66">
        <f t="shared" si="12"/>
        <v>0.10297638593821982</v>
      </c>
      <c r="D24" s="3"/>
      <c r="E24" s="57">
        <v>19000</v>
      </c>
      <c r="F24" s="50">
        <f t="shared" si="6"/>
        <v>85.156879141360164</v>
      </c>
      <c r="G24" s="3">
        <f t="shared" si="7"/>
        <v>306.56476490889662</v>
      </c>
      <c r="H24" s="50">
        <f t="shared" si="14"/>
        <v>12.718235196436908</v>
      </c>
      <c r="I24" s="3">
        <f t="shared" si="1"/>
        <v>5333.5808961367011</v>
      </c>
      <c r="J24" s="50">
        <f t="shared" si="15"/>
        <v>18.992868388548324</v>
      </c>
      <c r="K24" s="9">
        <f t="shared" si="3"/>
        <v>8.4028058701117764E-2</v>
      </c>
      <c r="L24" s="80">
        <f>44*K24-4</f>
        <v>-0.30276541715081828</v>
      </c>
      <c r="M24" s="80">
        <f t="shared" si="11"/>
        <v>10.788938331396727</v>
      </c>
    </row>
    <row r="25" spans="3:14" x14ac:dyDescent="0.25">
      <c r="C25" s="66">
        <f t="shared" si="12"/>
        <v>8.7950221759841435E-2</v>
      </c>
      <c r="D25" s="3"/>
      <c r="E25" s="57">
        <v>20000</v>
      </c>
      <c r="F25" s="50">
        <f t="shared" si="6"/>
        <v>92.144642696231131</v>
      </c>
      <c r="G25" s="3">
        <f t="shared" si="7"/>
        <v>331.72071370643209</v>
      </c>
      <c r="H25" s="50">
        <f t="shared" si="14"/>
        <v>13.761862220865687</v>
      </c>
      <c r="I25" s="3">
        <f t="shared" si="1"/>
        <v>4314.8330965714777</v>
      </c>
      <c r="J25" s="50">
        <f t="shared" si="15"/>
        <v>23.477153746802383</v>
      </c>
      <c r="K25" s="9">
        <f t="shared" si="3"/>
        <v>7.1766806821576032E-2</v>
      </c>
      <c r="L25" s="80"/>
      <c r="M25" s="51">
        <f t="shared" si="11"/>
        <v>8.6309580005973814</v>
      </c>
    </row>
    <row r="26" spans="3:14" x14ac:dyDescent="0.25">
      <c r="C26" s="66">
        <f t="shared" si="12"/>
        <v>5.4794228705635974E-2</v>
      </c>
      <c r="D26" s="3"/>
      <c r="E26" s="58">
        <v>23000</v>
      </c>
      <c r="F26" s="50">
        <f t="shared" si="6"/>
        <v>116.74039292096015</v>
      </c>
      <c r="G26" s="3">
        <f t="shared" si="7"/>
        <v>420.26541451545654</v>
      </c>
      <c r="H26" s="50">
        <f t="shared" si="14"/>
        <v>17.435253488195347</v>
      </c>
      <c r="I26" s="3">
        <f t="shared" si="1"/>
        <v>2158.6420009964077</v>
      </c>
      <c r="J26" s="50">
        <f t="shared" si="15"/>
        <v>46.927651714939728</v>
      </c>
      <c r="K26" s="9">
        <f t="shared" si="3"/>
        <v>4.4711732929935515E-2</v>
      </c>
      <c r="L26" s="51"/>
      <c r="M26" s="51">
        <f t="shared" si="11"/>
        <v>3.8692649956686509</v>
      </c>
    </row>
    <row r="27" spans="3:14" ht="13.8" thickBot="1" x14ac:dyDescent="0.3">
      <c r="C27" s="66">
        <f t="shared" si="12"/>
        <v>3.4137577363295042E-2</v>
      </c>
      <c r="D27" s="3"/>
      <c r="E27" s="72">
        <v>26000</v>
      </c>
      <c r="F27" s="71">
        <f t="shared" si="6"/>
        <v>147.90137484463418</v>
      </c>
      <c r="G27" s="71">
        <f t="shared" si="7"/>
        <v>532.4449494406831</v>
      </c>
      <c r="H27" s="71">
        <f t="shared" si="14"/>
        <v>22.089166372899911</v>
      </c>
      <c r="I27" s="69">
        <f t="shared" si="1"/>
        <v>971.98677274889894</v>
      </c>
      <c r="J27" s="69">
        <f t="shared" si="15"/>
        <v>104.21952524468112</v>
      </c>
      <c r="K27" s="70">
        <f t="shared" si="3"/>
        <v>2.7856040280126514E-2</v>
      </c>
      <c r="L27" s="71"/>
      <c r="M27" s="71">
        <f t="shared" si="11"/>
        <v>0.90266308930226646</v>
      </c>
    </row>
    <row r="28" spans="3:14" x14ac:dyDescent="0.25">
      <c r="C28" s="66">
        <f>0.3637*2.718281828^-((E28-11000)/6340)</f>
        <v>2.1268192212277395E-2</v>
      </c>
      <c r="D28" s="3"/>
      <c r="E28" s="58">
        <v>29000</v>
      </c>
      <c r="F28" s="50">
        <f t="shared" si="6"/>
        <v>187.38001589341471</v>
      </c>
      <c r="G28" s="3">
        <f t="shared" si="7"/>
        <v>674.56805721629291</v>
      </c>
      <c r="H28" s="50">
        <f t="shared" si="14"/>
        <v>27.985327049016483</v>
      </c>
      <c r="I28" s="3">
        <f t="shared" si="1"/>
        <v>379.27619697664409</v>
      </c>
      <c r="J28" s="3">
        <f t="shared" si="15"/>
        <v>267.08768123995424</v>
      </c>
      <c r="K28" s="9">
        <f t="shared" si="3"/>
        <v>1.7354706007570293E-2</v>
      </c>
    </row>
    <row r="29" spans="3:14" x14ac:dyDescent="0.25">
      <c r="C29" s="66">
        <f t="shared" ref="C29" si="16">0.3637*2.718281828^-((E29-11000)/6340)</f>
        <v>1.8164768596782493E-2</v>
      </c>
      <c r="D29" s="3"/>
      <c r="E29" s="58">
        <v>30000</v>
      </c>
      <c r="F29" s="50">
        <f t="shared" si="6"/>
        <v>202.75595802719815</v>
      </c>
      <c r="G29" s="3">
        <f t="shared" si="7"/>
        <v>729.92144889791336</v>
      </c>
      <c r="H29" s="50">
        <f t="shared" si="14"/>
        <v>30.281733991075047</v>
      </c>
      <c r="I29" s="3">
        <f t="shared" si="1"/>
        <v>265.86651337247457</v>
      </c>
      <c r="J29" s="3">
        <f t="shared" si="15"/>
        <v>381.01827385113512</v>
      </c>
      <c r="K29" s="9">
        <f t="shared" si="3"/>
        <v>1.4822332596313744E-2</v>
      </c>
    </row>
    <row r="30" spans="3:14" x14ac:dyDescent="0.25">
      <c r="C30" s="53"/>
    </row>
  </sheetData>
  <mergeCells count="1">
    <mergeCell ref="C1:K1"/>
  </mergeCells>
  <phoneticPr fontId="0" type="noConversion"/>
  <pageMargins left="0.15748031496062992" right="0.15748031496062992" top="0.62992125984251968" bottom="0.6692913385826772" header="0.51181102362204722" footer="0.51181102362204722"/>
  <pageSetup paperSize="9" scale="83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35"/>
  <sheetViews>
    <sheetView zoomScale="150" zoomScaleNormal="150" zoomScaleSheetLayoutView="200" workbookViewId="0">
      <pane xSplit="7" ySplit="7" topLeftCell="H11" activePane="bottomRight" state="frozen"/>
      <selection pane="topRight" activeCell="H1" sqref="H1"/>
      <selection pane="bottomLeft" activeCell="A8" sqref="A8"/>
      <selection pane="bottomRight" activeCell="N23" sqref="N23"/>
    </sheetView>
  </sheetViews>
  <sheetFormatPr defaultRowHeight="13.2" x14ac:dyDescent="0.25"/>
  <cols>
    <col min="1" max="1" width="7" style="6" customWidth="1"/>
    <col min="2" max="2" width="9" style="8" customWidth="1"/>
    <col min="3" max="3" width="9.33203125" style="8" customWidth="1"/>
    <col min="4" max="4" width="11.33203125" style="43" customWidth="1"/>
    <col min="5" max="5" width="11.109375" style="2" customWidth="1"/>
    <col min="6" max="6" width="9.88671875" style="4" customWidth="1"/>
    <col min="7" max="7" width="9" style="2" customWidth="1"/>
    <col min="8" max="8" width="12.5546875" customWidth="1"/>
    <col min="14" max="14" width="10.33203125" customWidth="1"/>
  </cols>
  <sheetData>
    <row r="1" spans="1:9" ht="36.75" customHeight="1" x14ac:dyDescent="0.25">
      <c r="A1" s="139" t="s">
        <v>19</v>
      </c>
      <c r="B1" s="140"/>
      <c r="C1" s="140"/>
      <c r="D1" s="140"/>
      <c r="E1" s="140"/>
      <c r="F1" s="140"/>
      <c r="G1" s="141"/>
    </row>
    <row r="2" spans="1:9" s="1" customFormat="1" ht="39.6" x14ac:dyDescent="0.25">
      <c r="A2" s="24" t="s">
        <v>1</v>
      </c>
      <c r="B2" s="14" t="s">
        <v>6</v>
      </c>
      <c r="C2" s="14" t="s">
        <v>7</v>
      </c>
      <c r="D2" s="44" t="s">
        <v>0</v>
      </c>
      <c r="E2" s="16" t="s">
        <v>2</v>
      </c>
      <c r="F2" s="15" t="s">
        <v>20</v>
      </c>
      <c r="G2" s="25" t="s">
        <v>3</v>
      </c>
    </row>
    <row r="3" spans="1:9" x14ac:dyDescent="0.25">
      <c r="A3" s="26">
        <v>0</v>
      </c>
      <c r="B3" s="10">
        <f t="shared" ref="B3:B22" si="0">101324.72*(1-A3/44300)^5.256</f>
        <v>101324.72</v>
      </c>
      <c r="C3" s="11">
        <f>760*(1-A3/44300)^5.256</f>
        <v>760</v>
      </c>
      <c r="D3" s="11">
        <f>288-0.0065*A3</f>
        <v>288</v>
      </c>
      <c r="E3" s="12">
        <f t="shared" ref="E3:E22" si="1">1.2255*(1-A3/44300)^4.256</f>
        <v>1.2255</v>
      </c>
      <c r="F3" s="10">
        <f>20*SQRT(D3)</f>
        <v>339.41125496954277</v>
      </c>
      <c r="G3" s="27">
        <f>F3*3.6</f>
        <v>1221.880517890354</v>
      </c>
    </row>
    <row r="4" spans="1:9" x14ac:dyDescent="0.25">
      <c r="A4" s="94">
        <v>100</v>
      </c>
      <c r="B4" s="95">
        <f t="shared" si="0"/>
        <v>100128.30744170213</v>
      </c>
      <c r="C4" s="96">
        <f>760*(1-A4/44300)^5.256</f>
        <v>751.02614303492396</v>
      </c>
      <c r="D4" s="96">
        <f>288-0.0065*A4</f>
        <v>287.35000000000002</v>
      </c>
      <c r="E4" s="97">
        <f t="shared" si="1"/>
        <v>1.2137695417425565</v>
      </c>
      <c r="F4" s="95">
        <f>20*SQRT(D4)</f>
        <v>339.02802244062366</v>
      </c>
      <c r="G4" s="98">
        <f>F4*3.6</f>
        <v>1220.5008807862453</v>
      </c>
      <c r="H4" s="99" t="s">
        <v>21</v>
      </c>
    </row>
    <row r="5" spans="1:9" x14ac:dyDescent="0.25">
      <c r="A5" s="26">
        <v>300</v>
      </c>
      <c r="B5" s="10">
        <f t="shared" si="0"/>
        <v>97769.792815976703</v>
      </c>
      <c r="C5" s="11">
        <f t="shared" ref="C5:C22" si="2">760*(1-A5/44300)^5.256</f>
        <v>733.33577966109647</v>
      </c>
      <c r="D5" s="11">
        <f t="shared" ref="D5:D21" si="3">288-0.0065*A5</f>
        <v>286.05</v>
      </c>
      <c r="E5" s="12">
        <f t="shared" si="1"/>
        <v>1.1905664715992239</v>
      </c>
      <c r="F5" s="10">
        <f t="shared" ref="F5:F34" si="4">20*SQRT(D5)</f>
        <v>338.26025483346399</v>
      </c>
      <c r="G5" s="27">
        <f>F5*3.6</f>
        <v>1217.7369174004705</v>
      </c>
    </row>
    <row r="6" spans="1:9" x14ac:dyDescent="0.25">
      <c r="A6" s="26">
        <v>600</v>
      </c>
      <c r="B6" s="10">
        <f t="shared" si="0"/>
        <v>94316.539930633633</v>
      </c>
      <c r="C6" s="11">
        <f t="shared" si="2"/>
        <v>707.43418138516995</v>
      </c>
      <c r="D6" s="11">
        <f t="shared" si="3"/>
        <v>284.10000000000002</v>
      </c>
      <c r="E6" s="12">
        <f t="shared" si="1"/>
        <v>1.1563999188678005</v>
      </c>
      <c r="F6" s="10">
        <f t="shared" si="4"/>
        <v>337.10532478737264</v>
      </c>
      <c r="G6" s="27">
        <f t="shared" ref="G6:G35" si="5">F6*3.6</f>
        <v>1213.5791692345415</v>
      </c>
    </row>
    <row r="7" spans="1:9" s="102" customFormat="1" x14ac:dyDescent="0.25">
      <c r="A7" s="100">
        <v>900</v>
      </c>
      <c r="B7" s="10">
        <f t="shared" si="0"/>
        <v>90962.721523674438</v>
      </c>
      <c r="C7" s="11">
        <f t="shared" si="2"/>
        <v>682.27840509199109</v>
      </c>
      <c r="D7" s="11">
        <f t="shared" si="3"/>
        <v>282.14999999999998</v>
      </c>
      <c r="E7" s="12">
        <f t="shared" si="1"/>
        <v>1.1229885949248855</v>
      </c>
      <c r="F7" s="10">
        <f t="shared" si="4"/>
        <v>335.94642430006604</v>
      </c>
      <c r="G7" s="101">
        <f t="shared" si="5"/>
        <v>1209.4071274802377</v>
      </c>
    </row>
    <row r="8" spans="1:9" x14ac:dyDescent="0.25">
      <c r="A8" s="26">
        <v>1200</v>
      </c>
      <c r="B8" s="10">
        <f t="shared" si="0"/>
        <v>87706.132196215898</v>
      </c>
      <c r="C8" s="11">
        <f t="shared" si="2"/>
        <v>657.85190888387444</v>
      </c>
      <c r="D8" s="11">
        <f t="shared" si="3"/>
        <v>280.2</v>
      </c>
      <c r="E8" s="12">
        <f t="shared" si="1"/>
        <v>1.0903208537409155</v>
      </c>
      <c r="F8" s="10">
        <f t="shared" si="4"/>
        <v>334.7835121388149</v>
      </c>
      <c r="G8" s="27">
        <f t="shared" si="5"/>
        <v>1205.2206436997337</v>
      </c>
      <c r="I8" s="42"/>
    </row>
    <row r="9" spans="1:9" x14ac:dyDescent="0.25">
      <c r="A9" s="26">
        <v>1500</v>
      </c>
      <c r="B9" s="10">
        <f t="shared" si="0"/>
        <v>84544.600674254194</v>
      </c>
      <c r="C9" s="11">
        <f t="shared" si="2"/>
        <v>634.13840682148623</v>
      </c>
      <c r="D9" s="11">
        <f t="shared" si="3"/>
        <v>278.25</v>
      </c>
      <c r="E9" s="12">
        <f t="shared" si="1"/>
        <v>1.0583851499599146</v>
      </c>
      <c r="F9" s="10">
        <f t="shared" si="4"/>
        <v>333.61654635224556</v>
      </c>
      <c r="G9" s="27">
        <f t="shared" si="5"/>
        <v>1201.019566868084</v>
      </c>
    </row>
    <row r="10" spans="1:9" x14ac:dyDescent="0.25">
      <c r="A10" s="26">
        <v>1800</v>
      </c>
      <c r="B10" s="10">
        <f t="shared" si="0"/>
        <v>81475.989512655637</v>
      </c>
      <c r="C10" s="11">
        <f t="shared" si="2"/>
        <v>611.1218667035871</v>
      </c>
      <c r="D10" s="11">
        <f t="shared" si="3"/>
        <v>276.3</v>
      </c>
      <c r="E10" s="12">
        <f t="shared" si="1"/>
        <v>1.0271700387208791</v>
      </c>
      <c r="F10" s="10">
        <f t="shared" si="4"/>
        <v>332.44548425268164</v>
      </c>
      <c r="G10" s="27">
        <f t="shared" si="5"/>
        <v>1196.803743309654</v>
      </c>
    </row>
    <row r="11" spans="1:9" x14ac:dyDescent="0.25">
      <c r="A11" s="103">
        <v>2000</v>
      </c>
      <c r="B11" s="104">
        <f t="shared" si="0"/>
        <v>79480.830820847026</v>
      </c>
      <c r="C11" s="105">
        <f t="shared" si="2"/>
        <v>596.15690449323461</v>
      </c>
      <c r="D11" s="105">
        <f t="shared" si="3"/>
        <v>275</v>
      </c>
      <c r="E11" s="106">
        <f t="shared" si="1"/>
        <v>1.0067546873840096</v>
      </c>
      <c r="F11" s="104">
        <f t="shared" si="4"/>
        <v>331.66247903554</v>
      </c>
      <c r="G11" s="107">
        <f t="shared" si="5"/>
        <v>1193.984924527944</v>
      </c>
      <c r="H11" s="99" t="s">
        <v>22</v>
      </c>
    </row>
    <row r="12" spans="1:9" x14ac:dyDescent="0.25">
      <c r="A12" s="26">
        <v>2400</v>
      </c>
      <c r="B12" s="10">
        <f t="shared" si="0"/>
        <v>75609.145861999204</v>
      </c>
      <c r="C12" s="11">
        <f t="shared" si="2"/>
        <v>567.11679889289996</v>
      </c>
      <c r="D12" s="11">
        <f t="shared" si="3"/>
        <v>272.39999999999998</v>
      </c>
      <c r="E12" s="12">
        <f t="shared" si="1"/>
        <v>0.96685631582137688</v>
      </c>
      <c r="F12" s="10">
        <f t="shared" si="4"/>
        <v>330.09089657244408</v>
      </c>
      <c r="G12" s="27">
        <f t="shared" si="5"/>
        <v>1188.3272276607988</v>
      </c>
    </row>
    <row r="13" spans="1:9" x14ac:dyDescent="0.25">
      <c r="A13" s="108">
        <v>3000</v>
      </c>
      <c r="B13" s="109">
        <f t="shared" si="0"/>
        <v>70089.16704551586</v>
      </c>
      <c r="C13" s="110">
        <f t="shared" si="2"/>
        <v>525.71343848364006</v>
      </c>
      <c r="D13" s="110">
        <f t="shared" si="3"/>
        <v>268.5</v>
      </c>
      <c r="E13" s="111">
        <f t="shared" si="1"/>
        <v>0.90929012920776553</v>
      </c>
      <c r="F13" s="109">
        <f t="shared" si="4"/>
        <v>327.7193921634788</v>
      </c>
      <c r="G13" s="112">
        <f t="shared" si="5"/>
        <v>1179.7898117885238</v>
      </c>
      <c r="H13" s="99" t="s">
        <v>23</v>
      </c>
    </row>
    <row r="14" spans="1:9" x14ac:dyDescent="0.25">
      <c r="A14" s="28">
        <v>4000</v>
      </c>
      <c r="B14" s="10">
        <f t="shared" si="0"/>
        <v>61617.028397329734</v>
      </c>
      <c r="C14" s="11">
        <f t="shared" si="2"/>
        <v>462.1669971747329</v>
      </c>
      <c r="D14" s="11">
        <f t="shared" si="3"/>
        <v>262</v>
      </c>
      <c r="E14" s="12">
        <f t="shared" si="1"/>
        <v>0.81921393881961735</v>
      </c>
      <c r="F14" s="10">
        <f t="shared" si="4"/>
        <v>323.72828112477293</v>
      </c>
      <c r="G14" s="27">
        <f t="shared" si="5"/>
        <v>1165.4218120491826</v>
      </c>
    </row>
    <row r="15" spans="1:9" x14ac:dyDescent="0.25">
      <c r="A15" s="29">
        <v>5000</v>
      </c>
      <c r="B15" s="10">
        <f t="shared" si="0"/>
        <v>53993.896789117636</v>
      </c>
      <c r="C15" s="11">
        <f t="shared" si="2"/>
        <v>404.98864995362828</v>
      </c>
      <c r="D15" s="11">
        <f t="shared" si="3"/>
        <v>255.5</v>
      </c>
      <c r="E15" s="12">
        <f t="shared" si="1"/>
        <v>0.7361287016189566</v>
      </c>
      <c r="F15" s="10">
        <f t="shared" si="4"/>
        <v>319.68734726291564</v>
      </c>
      <c r="G15" s="27">
        <f t="shared" si="5"/>
        <v>1150.8744501464964</v>
      </c>
    </row>
    <row r="16" spans="1:9" x14ac:dyDescent="0.25">
      <c r="A16" s="29">
        <v>6000</v>
      </c>
      <c r="B16" s="10">
        <f t="shared" si="0"/>
        <v>47153.092755844576</v>
      </c>
      <c r="C16" s="11">
        <f t="shared" si="2"/>
        <v>353.6782583207916</v>
      </c>
      <c r="D16" s="11">
        <f t="shared" si="3"/>
        <v>249</v>
      </c>
      <c r="E16" s="12">
        <f t="shared" si="1"/>
        <v>0.65964919805020483</v>
      </c>
      <c r="F16" s="10">
        <f t="shared" si="4"/>
        <v>315.59467676118999</v>
      </c>
      <c r="G16" s="27">
        <f t="shared" si="5"/>
        <v>1136.1408363402841</v>
      </c>
    </row>
    <row r="17" spans="1:13" x14ac:dyDescent="0.25">
      <c r="A17" s="29">
        <v>7000</v>
      </c>
      <c r="B17" s="10">
        <f t="shared" si="0"/>
        <v>41031.656207815962</v>
      </c>
      <c r="C17" s="11">
        <f t="shared" si="2"/>
        <v>307.76358146304409</v>
      </c>
      <c r="D17" s="11">
        <f t="shared" si="3"/>
        <v>242.5</v>
      </c>
      <c r="E17" s="12">
        <f t="shared" si="1"/>
        <v>0.58940232539774051</v>
      </c>
      <c r="F17" s="10">
        <f t="shared" si="4"/>
        <v>311.44823004794875</v>
      </c>
      <c r="G17" s="27">
        <f t="shared" si="5"/>
        <v>1121.2136281726155</v>
      </c>
    </row>
    <row r="18" spans="1:13" x14ac:dyDescent="0.25">
      <c r="A18" s="29">
        <v>8000</v>
      </c>
      <c r="B18" s="10">
        <f t="shared" si="0"/>
        <v>35570.227958326985</v>
      </c>
      <c r="C18" s="11">
        <f t="shared" si="2"/>
        <v>266.79938763540139</v>
      </c>
      <c r="D18" s="11">
        <f t="shared" si="3"/>
        <v>236</v>
      </c>
      <c r="E18" s="12">
        <f t="shared" si="1"/>
        <v>0.52502701808540919</v>
      </c>
      <c r="F18" s="10">
        <f t="shared" si="4"/>
        <v>307.24582991474432</v>
      </c>
      <c r="G18" s="27">
        <f t="shared" si="5"/>
        <v>1106.0849876930795</v>
      </c>
    </row>
    <row r="19" spans="1:13" x14ac:dyDescent="0.25">
      <c r="A19" s="29">
        <v>9000</v>
      </c>
      <c r="B19" s="10">
        <f t="shared" si="0"/>
        <v>30712.932040760465</v>
      </c>
      <c r="C19" s="11">
        <f t="shared" si="2"/>
        <v>230.36657146427794</v>
      </c>
      <c r="D19" s="11">
        <f t="shared" si="3"/>
        <v>229.5</v>
      </c>
      <c r="E19" s="12">
        <f t="shared" si="1"/>
        <v>0.46617416641179499</v>
      </c>
      <c r="F19" s="10">
        <f t="shared" si="4"/>
        <v>302.9851481508623</v>
      </c>
      <c r="G19" s="27">
        <f t="shared" si="5"/>
        <v>1090.7465333431044</v>
      </c>
    </row>
    <row r="20" spans="1:13" x14ac:dyDescent="0.25">
      <c r="A20" s="31">
        <v>10000</v>
      </c>
      <c r="B20" s="20">
        <f t="shared" si="0"/>
        <v>26407.258830835846</v>
      </c>
      <c r="C20" s="21">
        <f t="shared" si="2"/>
        <v>198.07127728983846</v>
      </c>
      <c r="D20" s="21">
        <f t="shared" si="3"/>
        <v>223</v>
      </c>
      <c r="E20" s="22">
        <f t="shared" si="1"/>
        <v>0.41250653364731776</v>
      </c>
      <c r="F20" s="20">
        <f t="shared" si="4"/>
        <v>298.66369046136157</v>
      </c>
      <c r="G20" s="32">
        <f t="shared" si="5"/>
        <v>1075.1892856609018</v>
      </c>
    </row>
    <row r="21" spans="1:13" ht="15.75" customHeight="1" x14ac:dyDescent="0.25">
      <c r="A21" s="46">
        <v>11000</v>
      </c>
      <c r="B21" s="17">
        <f t="shared" si="0"/>
        <v>22603.948990464967</v>
      </c>
      <c r="C21" s="18">
        <f t="shared" si="2"/>
        <v>169.54402867092429</v>
      </c>
      <c r="D21" s="18">
        <f t="shared" si="3"/>
        <v>216.5</v>
      </c>
      <c r="E21" s="19">
        <f t="shared" si="1"/>
        <v>0.36369867141356271</v>
      </c>
      <c r="F21" s="17">
        <f t="shared" si="4"/>
        <v>294.27877939124323</v>
      </c>
      <c r="G21" s="30">
        <f t="shared" si="5"/>
        <v>1059.4036058084757</v>
      </c>
      <c r="H21" t="s">
        <v>24</v>
      </c>
    </row>
    <row r="22" spans="1:13" ht="15.75" customHeight="1" x14ac:dyDescent="0.25">
      <c r="A22" s="113">
        <v>12300</v>
      </c>
      <c r="B22" s="114">
        <f t="shared" si="0"/>
        <v>18335.202605380418</v>
      </c>
      <c r="C22" s="115">
        <f t="shared" si="2"/>
        <v>137.52570922563731</v>
      </c>
      <c r="D22" s="115">
        <v>216.5</v>
      </c>
      <c r="E22" s="116">
        <f t="shared" si="1"/>
        <v>0.30699928535615217</v>
      </c>
      <c r="F22" s="114">
        <f>20*SQRT(D22)</f>
        <v>294.27877939124323</v>
      </c>
      <c r="G22" s="114">
        <f t="shared" si="5"/>
        <v>1059.4036058084757</v>
      </c>
      <c r="H22" s="99" t="s">
        <v>29</v>
      </c>
    </row>
    <row r="23" spans="1:13" x14ac:dyDescent="0.25">
      <c r="A23" s="47">
        <v>13000</v>
      </c>
      <c r="B23" s="20">
        <f t="shared" ref="B23:B35" si="6">22604.0114540545*2.718281828^-((A23-11000)/6340)</f>
        <v>16488.612239005375</v>
      </c>
      <c r="C23" s="21">
        <f t="shared" ref="C23:C34" si="7">169.544*2.718281828^-((A23-11000)/6340)</f>
        <v>123.67474150029632</v>
      </c>
      <c r="D23" s="21">
        <v>216.5</v>
      </c>
      <c r="E23" s="23">
        <f>0.3637*2.718281828^-((A23-11000)/6340)</f>
        <v>0.26530283279654704</v>
      </c>
      <c r="F23" s="20">
        <f>20*SQRT(D23)</f>
        <v>294.27877939124323</v>
      </c>
      <c r="G23" s="32">
        <f t="shared" si="5"/>
        <v>1059.4036058084757</v>
      </c>
      <c r="H23" s="99"/>
    </row>
    <row r="24" spans="1:13" x14ac:dyDescent="0.25">
      <c r="A24" s="117">
        <v>14000</v>
      </c>
      <c r="B24" s="118">
        <f t="shared" si="6"/>
        <v>14082.617968381464</v>
      </c>
      <c r="C24" s="119">
        <f t="shared" si="7"/>
        <v>105.62830344005144</v>
      </c>
      <c r="D24" s="119">
        <v>216.5</v>
      </c>
      <c r="E24" s="120">
        <f t="shared" ref="E24:E34" si="8">0.3637*2.718281828^-((A24-11000)/6340)</f>
        <v>0.22659023003554657</v>
      </c>
      <c r="F24" s="118">
        <f t="shared" si="4"/>
        <v>294.27877939124323</v>
      </c>
      <c r="G24" s="121">
        <f t="shared" si="5"/>
        <v>1059.4036058084757</v>
      </c>
      <c r="H24" s="122" t="s">
        <v>25</v>
      </c>
      <c r="I24" s="123"/>
      <c r="J24" s="123"/>
      <c r="K24" s="123"/>
      <c r="L24" s="42"/>
      <c r="M24" s="42"/>
    </row>
    <row r="25" spans="1:13" x14ac:dyDescent="0.25">
      <c r="A25" s="124">
        <v>17200</v>
      </c>
      <c r="B25" s="125">
        <f t="shared" si="6"/>
        <v>8501.2176619800666</v>
      </c>
      <c r="C25" s="126">
        <f t="shared" si="7"/>
        <v>63.764365462848673</v>
      </c>
      <c r="D25" s="126">
        <v>216.5</v>
      </c>
      <c r="E25" s="127">
        <f t="shared" si="8"/>
        <v>0.13678513966190523</v>
      </c>
      <c r="F25" s="125">
        <f t="shared" si="4"/>
        <v>294.27877939124323</v>
      </c>
      <c r="G25" s="128">
        <f t="shared" si="5"/>
        <v>1059.4036058084757</v>
      </c>
      <c r="H25" s="99" t="s">
        <v>26</v>
      </c>
      <c r="J25" s="42"/>
      <c r="K25" s="42"/>
      <c r="L25" s="42"/>
      <c r="M25" s="42"/>
    </row>
    <row r="26" spans="1:13" x14ac:dyDescent="0.25">
      <c r="A26" s="33">
        <v>19000</v>
      </c>
      <c r="B26" s="10">
        <f t="shared" si="6"/>
        <v>6399.9983702080226</v>
      </c>
      <c r="C26" s="11">
        <f>169.544*2.718281828^-((A26-11000)/6340)</f>
        <v>48.003927350864842</v>
      </c>
      <c r="D26" s="11">
        <v>216.5</v>
      </c>
      <c r="E26" s="13">
        <f>0.3637*2.718281828^-((A26-11000)/6340)</f>
        <v>0.10297638593821982</v>
      </c>
      <c r="F26" s="10">
        <f>20*SQRT(D26)</f>
        <v>294.27877939124323</v>
      </c>
      <c r="G26" s="27">
        <f t="shared" si="5"/>
        <v>1059.4036058084757</v>
      </c>
      <c r="J26" s="42"/>
      <c r="K26" s="42"/>
      <c r="L26" s="42"/>
      <c r="M26" s="42"/>
    </row>
    <row r="27" spans="1:13" x14ac:dyDescent="0.25">
      <c r="A27" s="35">
        <v>20000</v>
      </c>
      <c r="B27" s="20">
        <f t="shared" si="6"/>
        <v>5466.1199341382708</v>
      </c>
      <c r="C27" s="21">
        <f t="shared" si="7"/>
        <v>40.99926422339994</v>
      </c>
      <c r="D27" s="11">
        <v>216.5</v>
      </c>
      <c r="E27" s="23">
        <f t="shared" si="8"/>
        <v>8.7950221759841435E-2</v>
      </c>
      <c r="F27" s="20">
        <f t="shared" si="4"/>
        <v>294.27877939124323</v>
      </c>
      <c r="G27" s="32">
        <f t="shared" si="5"/>
        <v>1059.4036058084757</v>
      </c>
      <c r="J27" s="42"/>
      <c r="K27" s="42"/>
      <c r="L27" s="42"/>
      <c r="M27" s="42"/>
    </row>
    <row r="28" spans="1:13" x14ac:dyDescent="0.25">
      <c r="A28" s="34">
        <v>20900</v>
      </c>
      <c r="B28" s="129">
        <f t="shared" si="6"/>
        <v>4742.7312990128739</v>
      </c>
      <c r="C28" s="130">
        <f>169.544*2.718281828^-((A28-11000)/6340)</f>
        <v>35.57340417183368</v>
      </c>
      <c r="D28" s="131">
        <v>216.5</v>
      </c>
      <c r="E28" s="132">
        <f>0.3637*2.718281828^-((A28-11000)/6340)</f>
        <v>7.6310852034256069E-2</v>
      </c>
      <c r="F28" s="129">
        <f>20*SQRT(D28)</f>
        <v>294.27877939124323</v>
      </c>
      <c r="G28" s="133">
        <f t="shared" si="5"/>
        <v>1059.4036058084757</v>
      </c>
      <c r="H28" s="99" t="s">
        <v>27</v>
      </c>
      <c r="J28" s="42"/>
      <c r="K28" s="42"/>
      <c r="L28" s="42"/>
      <c r="M28" s="42"/>
    </row>
    <row r="29" spans="1:13" x14ac:dyDescent="0.25">
      <c r="A29" s="35">
        <v>22000</v>
      </c>
      <c r="B29" s="20">
        <f t="shared" si="6"/>
        <v>3987.2892574444827</v>
      </c>
      <c r="C29" s="21">
        <f>169.544*2.718281828^-((A29-11000)/6340)</f>
        <v>29.907123841193638</v>
      </c>
      <c r="D29" s="11">
        <v>216.5</v>
      </c>
      <c r="E29" s="23">
        <f>0.3637*2.718281828^-((A29-11000)/6340)</f>
        <v>6.4155740934755137E-2</v>
      </c>
      <c r="F29" s="20">
        <f>20*SQRT(D29)</f>
        <v>294.27877939124323</v>
      </c>
      <c r="G29" s="32">
        <f t="shared" si="5"/>
        <v>1059.4036058084757</v>
      </c>
      <c r="J29" s="42"/>
      <c r="K29" s="42"/>
      <c r="L29" s="42"/>
      <c r="M29" s="42"/>
    </row>
    <row r="30" spans="1:13" x14ac:dyDescent="0.25">
      <c r="A30" s="34">
        <v>23000</v>
      </c>
      <c r="B30" s="20">
        <f t="shared" si="6"/>
        <v>3405.4698192968858</v>
      </c>
      <c r="C30" s="21">
        <f>169.544*2.718281828^-((A30-11000)/6340)</f>
        <v>25.54311991110351</v>
      </c>
      <c r="D30" s="48">
        <v>216.5</v>
      </c>
      <c r="E30" s="23">
        <f>0.3637*2.718281828^-((A30-11000)/6340)</f>
        <v>5.4794228705635974E-2</v>
      </c>
      <c r="F30" s="20">
        <f>20*SQRT(D30)</f>
        <v>294.27877939124323</v>
      </c>
      <c r="G30" s="32">
        <f t="shared" si="5"/>
        <v>1059.4036058084757</v>
      </c>
      <c r="J30" s="42"/>
      <c r="K30" s="42"/>
      <c r="L30" s="42"/>
      <c r="M30" s="42"/>
    </row>
    <row r="31" spans="1:13" x14ac:dyDescent="0.25">
      <c r="A31" s="35">
        <v>24000</v>
      </c>
      <c r="B31" s="20">
        <f t="shared" si="6"/>
        <v>2908.548625733466</v>
      </c>
      <c r="C31" s="21">
        <f>169.544*2.718281828^-((A31-11000)/6340)</f>
        <v>21.815905075242839</v>
      </c>
      <c r="D31" s="11">
        <v>216.5</v>
      </c>
      <c r="E31" s="23">
        <f>0.3637*2.718281828^-((A31-11000)/6340)</f>
        <v>4.6798734699345423E-2</v>
      </c>
      <c r="F31" s="20">
        <f>20*SQRT(D31)</f>
        <v>294.27877939124323</v>
      </c>
      <c r="G31" s="32">
        <f t="shared" si="5"/>
        <v>1059.4036058084757</v>
      </c>
      <c r="J31" s="42"/>
      <c r="K31" s="42"/>
      <c r="L31" s="42"/>
      <c r="M31" s="42"/>
    </row>
    <row r="32" spans="1:13" x14ac:dyDescent="0.25">
      <c r="A32" s="34">
        <v>25000</v>
      </c>
      <c r="B32" s="20">
        <f t="shared" si="6"/>
        <v>2484.1374486186669</v>
      </c>
      <c r="C32" s="21">
        <f>169.544*2.718281828^-((A32-11000)/6340)</f>
        <v>18.632559996914068</v>
      </c>
      <c r="D32" s="48">
        <v>216.5</v>
      </c>
      <c r="E32" s="23">
        <f>0.3637*2.718281828^-((A32-11000)/6340)</f>
        <v>3.9969931527377239E-2</v>
      </c>
      <c r="F32" s="20">
        <f>20*SQRT(D32)</f>
        <v>294.27877939124323</v>
      </c>
      <c r="G32" s="32">
        <f t="shared" si="5"/>
        <v>1059.4036058084757</v>
      </c>
      <c r="J32" s="42"/>
      <c r="K32" s="42"/>
      <c r="L32" s="42"/>
      <c r="M32" s="42"/>
    </row>
    <row r="33" spans="1:8" x14ac:dyDescent="0.25">
      <c r="A33" s="36">
        <v>26000</v>
      </c>
      <c r="B33" s="10">
        <f t="shared" si="6"/>
        <v>2121.6557320142774</v>
      </c>
      <c r="C33" s="11">
        <f t="shared" si="7"/>
        <v>15.913723993627974</v>
      </c>
      <c r="D33" s="11">
        <v>216.5</v>
      </c>
      <c r="E33" s="13">
        <f t="shared" si="8"/>
        <v>3.4137577363295042E-2</v>
      </c>
      <c r="F33" s="10">
        <f t="shared" si="4"/>
        <v>294.27877939124323</v>
      </c>
      <c r="G33" s="27">
        <f t="shared" si="5"/>
        <v>1059.4036058084757</v>
      </c>
    </row>
    <row r="34" spans="1:8" x14ac:dyDescent="0.25">
      <c r="A34" s="36">
        <v>29000</v>
      </c>
      <c r="B34" s="10">
        <f t="shared" si="6"/>
        <v>1321.8214472734421</v>
      </c>
      <c r="C34" s="11">
        <f t="shared" si="7"/>
        <v>9.9144745131656826</v>
      </c>
      <c r="D34" s="11">
        <v>216.5</v>
      </c>
      <c r="E34" s="13">
        <f t="shared" si="8"/>
        <v>2.1268192212277395E-2</v>
      </c>
      <c r="F34" s="10">
        <f t="shared" si="4"/>
        <v>294.27877939124323</v>
      </c>
      <c r="G34" s="27">
        <f t="shared" si="5"/>
        <v>1059.4036058084757</v>
      </c>
    </row>
    <row r="35" spans="1:8" ht="13.8" thickBot="1" x14ac:dyDescent="0.3">
      <c r="A35" s="45">
        <v>32000</v>
      </c>
      <c r="B35" s="134">
        <f t="shared" si="6"/>
        <v>823.51340611385319</v>
      </c>
      <c r="C35" s="135">
        <f>169.544*2.718281828^-((A35-11000)/6340)</f>
        <v>6.1768574666477205</v>
      </c>
      <c r="D35" s="135">
        <v>216.5</v>
      </c>
      <c r="E35" s="136">
        <f>0.3637*2.718281828^-((A35-11000)/6340)</f>
        <v>1.3250383738851129E-2</v>
      </c>
      <c r="F35" s="134">
        <f>20*SQRT(D35)</f>
        <v>294.27877939124323</v>
      </c>
      <c r="G35" s="137">
        <f t="shared" si="5"/>
        <v>1059.4036058084757</v>
      </c>
      <c r="H35" s="99" t="s">
        <v>28</v>
      </c>
    </row>
  </sheetData>
  <mergeCells count="1">
    <mergeCell ref="A1:G1"/>
  </mergeCells>
  <phoneticPr fontId="0" type="noConversion"/>
  <pageMargins left="0.27" right="0.16" top="0.47" bottom="0.47244094488188981" header="0.2" footer="0.51181102362204722"/>
  <pageSetup paperSize="9" scale="145" orientation="landscape" verticalDpi="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РВ-115ТТД</vt:lpstr>
      <vt:lpstr>МСА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Corporation</dc:creator>
  <cp:lastModifiedBy>ROTOR_ANTI</cp:lastModifiedBy>
  <cp:lastPrinted>2009-09-15T10:19:14Z</cp:lastPrinted>
  <dcterms:created xsi:type="dcterms:W3CDTF">1996-10-08T23:32:33Z</dcterms:created>
  <dcterms:modified xsi:type="dcterms:W3CDTF">2024-08-14T11:36:05Z</dcterms:modified>
</cp:coreProperties>
</file>